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EF8EDF4B-D43E-4262-A5A6-748F9CBF551A}" xr6:coauthVersionLast="45" xr6:coauthVersionMax="45" xr10:uidLastSave="{00000000-0000-0000-0000-000000000000}"/>
  <bookViews>
    <workbookView xWindow="-120" yWindow="-120" windowWidth="20730" windowHeight="11310" xr2:uid="{47010EA9-97FA-4861-A6C5-12B8F2C610B6}"/>
  </bookViews>
  <sheets>
    <sheet name="Kelapa Total" sheetId="1" r:id="rId1"/>
  </sheets>
  <externalReferences>
    <externalReference r:id="rId2"/>
  </externalReferences>
  <definedNames>
    <definedName name="_xlnm._FilterDatabase" localSheetId="0" hidden="1">'Kelapa Total'!$O$10:$P$60</definedName>
    <definedName name="komoditi" localSheetId="0">#REF!</definedName>
    <definedName name="komoditi">#REF!</definedName>
    <definedName name="Z_BB0C7139_A5D5_4A54_9E2C_18390F57221E_.wvu.FilterData" localSheetId="0" hidden="1">'Kelapa Total'!$O$10:$P$42</definedName>
    <definedName name="Z_C549CA57_D6A8_473A_95EE_534EA55B482B_.wvu.FilterData" localSheetId="0" hidden="1">'Kelapa Total'!$O$10:$P$60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8" i="1" l="1"/>
  <c r="F58" i="1"/>
  <c r="J58" i="1" s="1"/>
  <c r="H57" i="1"/>
  <c r="F57" i="1"/>
  <c r="J57" i="1" s="1"/>
  <c r="H56" i="1"/>
  <c r="F56" i="1"/>
  <c r="J56" i="1" s="1"/>
  <c r="H55" i="1"/>
  <c r="F55" i="1"/>
  <c r="J55" i="1" s="1"/>
  <c r="H54" i="1"/>
  <c r="F54" i="1"/>
  <c r="J54" i="1" s="1"/>
  <c r="H53" i="1"/>
  <c r="F53" i="1"/>
  <c r="J53" i="1" s="1"/>
  <c r="H52" i="1"/>
  <c r="F52" i="1"/>
  <c r="J52" i="1" s="1"/>
  <c r="H51" i="1"/>
  <c r="F51" i="1"/>
  <c r="J51" i="1" s="1"/>
  <c r="H50" i="1"/>
  <c r="F50" i="1"/>
  <c r="J50" i="1" s="1"/>
  <c r="I42" i="1"/>
  <c r="J42" i="1" s="1"/>
  <c r="G42" i="1"/>
  <c r="H42" i="1" s="1"/>
  <c r="E42" i="1"/>
  <c r="D42" i="1"/>
  <c r="C42" i="1"/>
  <c r="F42" i="1" s="1"/>
  <c r="P41" i="1"/>
  <c r="O41" i="1"/>
  <c r="N41" i="1"/>
  <c r="M41" i="1"/>
  <c r="I41" i="1"/>
  <c r="G41" i="1"/>
  <c r="H41" i="1" s="1"/>
  <c r="E41" i="1"/>
  <c r="D41" i="1"/>
  <c r="C41" i="1"/>
  <c r="F41" i="1" s="1"/>
  <c r="P40" i="1"/>
  <c r="O40" i="1"/>
  <c r="N40" i="1"/>
  <c r="M40" i="1"/>
  <c r="I40" i="1"/>
  <c r="J40" i="1" s="1"/>
  <c r="G40" i="1"/>
  <c r="H40" i="1" s="1"/>
  <c r="E40" i="1"/>
  <c r="D40" i="1"/>
  <c r="C40" i="1"/>
  <c r="F40" i="1" s="1"/>
  <c r="P39" i="1"/>
  <c r="O39" i="1"/>
  <c r="N39" i="1"/>
  <c r="M39" i="1"/>
  <c r="I39" i="1"/>
  <c r="G39" i="1"/>
  <c r="H39" i="1" s="1"/>
  <c r="E39" i="1"/>
  <c r="D39" i="1"/>
  <c r="C39" i="1"/>
  <c r="F39" i="1" s="1"/>
  <c r="P38" i="1"/>
  <c r="O38" i="1"/>
  <c r="N38" i="1"/>
  <c r="M38" i="1"/>
  <c r="I38" i="1"/>
  <c r="G38" i="1"/>
  <c r="H38" i="1" s="1"/>
  <c r="E38" i="1"/>
  <c r="D38" i="1"/>
  <c r="C38" i="1"/>
  <c r="F38" i="1" s="1"/>
  <c r="P37" i="1"/>
  <c r="O37" i="1"/>
  <c r="N37" i="1"/>
  <c r="M37" i="1"/>
  <c r="I37" i="1"/>
  <c r="G37" i="1"/>
  <c r="H37" i="1" s="1"/>
  <c r="E37" i="1"/>
  <c r="D37" i="1"/>
  <c r="C37" i="1"/>
  <c r="F37" i="1" s="1"/>
  <c r="P36" i="1"/>
  <c r="O36" i="1"/>
  <c r="N36" i="1"/>
  <c r="M36" i="1"/>
  <c r="I36" i="1"/>
  <c r="G36" i="1"/>
  <c r="H36" i="1" s="1"/>
  <c r="E36" i="1"/>
  <c r="D36" i="1"/>
  <c r="C36" i="1"/>
  <c r="F36" i="1" s="1"/>
  <c r="P35" i="1"/>
  <c r="O35" i="1"/>
  <c r="N35" i="1"/>
  <c r="M35" i="1"/>
  <c r="I35" i="1"/>
  <c r="G35" i="1"/>
  <c r="H35" i="1" s="1"/>
  <c r="E35" i="1"/>
  <c r="D35" i="1"/>
  <c r="C35" i="1"/>
  <c r="F35" i="1" s="1"/>
  <c r="P34" i="1"/>
  <c r="O34" i="1"/>
  <c r="N34" i="1"/>
  <c r="M34" i="1"/>
  <c r="I34" i="1"/>
  <c r="G34" i="1"/>
  <c r="H34" i="1" s="1"/>
  <c r="E34" i="1"/>
  <c r="D34" i="1"/>
  <c r="C34" i="1"/>
  <c r="F34" i="1" s="1"/>
  <c r="P33" i="1"/>
  <c r="O33" i="1"/>
  <c r="N33" i="1"/>
  <c r="M33" i="1"/>
  <c r="I33" i="1"/>
  <c r="G33" i="1"/>
  <c r="H33" i="1" s="1"/>
  <c r="E33" i="1"/>
  <c r="D33" i="1"/>
  <c r="C33" i="1"/>
  <c r="F33" i="1" s="1"/>
  <c r="P32" i="1"/>
  <c r="O32" i="1"/>
  <c r="N32" i="1"/>
  <c r="M32" i="1"/>
  <c r="I32" i="1"/>
  <c r="G32" i="1"/>
  <c r="H32" i="1" s="1"/>
  <c r="E32" i="1"/>
  <c r="D32" i="1"/>
  <c r="C32" i="1"/>
  <c r="F32" i="1" s="1"/>
  <c r="P31" i="1"/>
  <c r="O31" i="1"/>
  <c r="N31" i="1"/>
  <c r="M31" i="1"/>
  <c r="I31" i="1"/>
  <c r="G31" i="1"/>
  <c r="H31" i="1" s="1"/>
  <c r="E31" i="1"/>
  <c r="D31" i="1"/>
  <c r="C31" i="1"/>
  <c r="F31" i="1" s="1"/>
  <c r="P30" i="1"/>
  <c r="O30" i="1"/>
  <c r="N30" i="1"/>
  <c r="M30" i="1"/>
  <c r="I30" i="1"/>
  <c r="G30" i="1"/>
  <c r="H30" i="1" s="1"/>
  <c r="E30" i="1"/>
  <c r="D30" i="1"/>
  <c r="C30" i="1"/>
  <c r="F30" i="1" s="1"/>
  <c r="P29" i="1"/>
  <c r="O29" i="1"/>
  <c r="N29" i="1"/>
  <c r="M29" i="1"/>
  <c r="I29" i="1"/>
  <c r="G29" i="1"/>
  <c r="H29" i="1" s="1"/>
  <c r="E29" i="1"/>
  <c r="D29" i="1"/>
  <c r="C29" i="1"/>
  <c r="F29" i="1" s="1"/>
  <c r="P28" i="1"/>
  <c r="O28" i="1"/>
  <c r="N28" i="1"/>
  <c r="M28" i="1"/>
  <c r="I28" i="1"/>
  <c r="G28" i="1"/>
  <c r="H28" i="1" s="1"/>
  <c r="E28" i="1"/>
  <c r="D28" i="1"/>
  <c r="C28" i="1"/>
  <c r="F28" i="1" s="1"/>
  <c r="P27" i="1"/>
  <c r="O27" i="1"/>
  <c r="N27" i="1"/>
  <c r="M27" i="1"/>
  <c r="I27" i="1"/>
  <c r="G27" i="1"/>
  <c r="H27" i="1" s="1"/>
  <c r="E27" i="1"/>
  <c r="D27" i="1"/>
  <c r="C27" i="1"/>
  <c r="F27" i="1" s="1"/>
  <c r="P26" i="1"/>
  <c r="O26" i="1"/>
  <c r="N26" i="1"/>
  <c r="M26" i="1"/>
  <c r="I26" i="1"/>
  <c r="G26" i="1"/>
  <c r="H26" i="1" s="1"/>
  <c r="E26" i="1"/>
  <c r="D26" i="1"/>
  <c r="C26" i="1"/>
  <c r="F26" i="1" s="1"/>
  <c r="P25" i="1"/>
  <c r="O25" i="1"/>
  <c r="N25" i="1"/>
  <c r="M25" i="1"/>
  <c r="I25" i="1"/>
  <c r="G25" i="1"/>
  <c r="H25" i="1" s="1"/>
  <c r="E25" i="1"/>
  <c r="D25" i="1"/>
  <c r="C25" i="1"/>
  <c r="F25" i="1" s="1"/>
  <c r="P24" i="1"/>
  <c r="O24" i="1"/>
  <c r="N24" i="1"/>
  <c r="M24" i="1"/>
  <c r="I24" i="1"/>
  <c r="G24" i="1"/>
  <c r="H24" i="1" s="1"/>
  <c r="E24" i="1"/>
  <c r="D24" i="1"/>
  <c r="C24" i="1"/>
  <c r="F24" i="1" s="1"/>
  <c r="P23" i="1"/>
  <c r="O23" i="1"/>
  <c r="N23" i="1"/>
  <c r="M23" i="1"/>
  <c r="I23" i="1"/>
  <c r="G23" i="1"/>
  <c r="E23" i="1"/>
  <c r="D23" i="1"/>
  <c r="C23" i="1"/>
  <c r="P22" i="1"/>
  <c r="O22" i="1"/>
  <c r="N22" i="1"/>
  <c r="M22" i="1"/>
  <c r="I22" i="1"/>
  <c r="G22" i="1"/>
  <c r="E22" i="1"/>
  <c r="D22" i="1"/>
  <c r="H22" i="1" s="1"/>
  <c r="C22" i="1"/>
  <c r="P21" i="1"/>
  <c r="O21" i="1"/>
  <c r="N21" i="1"/>
  <c r="M21" i="1"/>
  <c r="I21" i="1"/>
  <c r="G21" i="1"/>
  <c r="E21" i="1"/>
  <c r="D21" i="1"/>
  <c r="H21" i="1" s="1"/>
  <c r="C21" i="1"/>
  <c r="P20" i="1"/>
  <c r="O20" i="1"/>
  <c r="N20" i="1"/>
  <c r="M20" i="1"/>
  <c r="I20" i="1"/>
  <c r="G20" i="1"/>
  <c r="E20" i="1"/>
  <c r="D20" i="1"/>
  <c r="H20" i="1" s="1"/>
  <c r="C20" i="1"/>
  <c r="P19" i="1"/>
  <c r="O19" i="1"/>
  <c r="N19" i="1"/>
  <c r="M19" i="1"/>
  <c r="I19" i="1"/>
  <c r="G19" i="1"/>
  <c r="E19" i="1"/>
  <c r="D19" i="1"/>
  <c r="H19" i="1" s="1"/>
  <c r="C19" i="1"/>
  <c r="P18" i="1"/>
  <c r="O18" i="1"/>
  <c r="N18" i="1"/>
  <c r="M18" i="1"/>
  <c r="I18" i="1"/>
  <c r="G18" i="1"/>
  <c r="E18" i="1"/>
  <c r="D18" i="1"/>
  <c r="H18" i="1" s="1"/>
  <c r="C18" i="1"/>
  <c r="P17" i="1"/>
  <c r="O17" i="1"/>
  <c r="N17" i="1"/>
  <c r="M17" i="1"/>
  <c r="I17" i="1"/>
  <c r="G17" i="1"/>
  <c r="E17" i="1"/>
  <c r="D17" i="1"/>
  <c r="H17" i="1" s="1"/>
  <c r="C17" i="1"/>
  <c r="P16" i="1"/>
  <c r="O16" i="1"/>
  <c r="N16" i="1"/>
  <c r="M16" i="1"/>
  <c r="I16" i="1"/>
  <c r="G16" i="1"/>
  <c r="E16" i="1"/>
  <c r="D16" i="1"/>
  <c r="H16" i="1" s="1"/>
  <c r="C16" i="1"/>
  <c r="P15" i="1"/>
  <c r="O15" i="1"/>
  <c r="N15" i="1"/>
  <c r="M15" i="1"/>
  <c r="I15" i="1"/>
  <c r="G15" i="1"/>
  <c r="E15" i="1"/>
  <c r="D15" i="1"/>
  <c r="H15" i="1" s="1"/>
  <c r="C15" i="1"/>
  <c r="P14" i="1"/>
  <c r="O14" i="1"/>
  <c r="N14" i="1"/>
  <c r="M14" i="1"/>
  <c r="I14" i="1"/>
  <c r="G14" i="1"/>
  <c r="E14" i="1"/>
  <c r="D14" i="1"/>
  <c r="H14" i="1" s="1"/>
  <c r="C14" i="1"/>
  <c r="P13" i="1"/>
  <c r="O13" i="1"/>
  <c r="N13" i="1"/>
  <c r="M13" i="1"/>
  <c r="I13" i="1"/>
  <c r="G13" i="1"/>
  <c r="E13" i="1"/>
  <c r="D13" i="1"/>
  <c r="H13" i="1" s="1"/>
  <c r="C13" i="1"/>
  <c r="P12" i="1"/>
  <c r="O12" i="1"/>
  <c r="N12" i="1"/>
  <c r="M12" i="1"/>
  <c r="I12" i="1"/>
  <c r="G12" i="1"/>
  <c r="E12" i="1"/>
  <c r="D12" i="1"/>
  <c r="H12" i="1" s="1"/>
  <c r="C12" i="1"/>
  <c r="P11" i="1"/>
  <c r="O11" i="1"/>
  <c r="N11" i="1"/>
  <c r="M11" i="1"/>
  <c r="I11" i="1"/>
  <c r="I43" i="1" s="1"/>
  <c r="G11" i="1"/>
  <c r="G43" i="1" s="1"/>
  <c r="H43" i="1" s="1"/>
  <c r="E11" i="1"/>
  <c r="E43" i="1" s="1"/>
  <c r="D11" i="1"/>
  <c r="D43" i="1" s="1"/>
  <c r="C11" i="1"/>
  <c r="C43" i="1" s="1"/>
  <c r="F43" i="1" s="1"/>
  <c r="A3" i="1"/>
  <c r="C77" i="1" a="1"/>
  <c r="B77" i="1" a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B65" i="1" l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J43" i="1"/>
  <c r="F23" i="1"/>
  <c r="J23" i="1"/>
  <c r="J25" i="1"/>
  <c r="J27" i="1"/>
  <c r="J29" i="1"/>
  <c r="J31" i="1"/>
  <c r="J33" i="1"/>
  <c r="J35" i="1"/>
  <c r="J37" i="1"/>
  <c r="J39" i="1"/>
  <c r="J41" i="1"/>
  <c r="F11" i="1"/>
  <c r="H11" i="1"/>
  <c r="J11" i="1"/>
  <c r="F12" i="1"/>
  <c r="J12" i="1" s="1"/>
  <c r="F13" i="1"/>
  <c r="J13" i="1" s="1"/>
  <c r="F14" i="1"/>
  <c r="J14" i="1" s="1"/>
  <c r="F15" i="1"/>
  <c r="J15" i="1" s="1"/>
  <c r="F16" i="1"/>
  <c r="J16" i="1" s="1"/>
  <c r="F17" i="1"/>
  <c r="J17" i="1" s="1"/>
  <c r="F18" i="1"/>
  <c r="J18" i="1" s="1"/>
  <c r="F19" i="1"/>
  <c r="J19" i="1" s="1"/>
  <c r="F20" i="1"/>
  <c r="J20" i="1" s="1"/>
  <c r="F21" i="1"/>
  <c r="J21" i="1" s="1"/>
  <c r="F22" i="1"/>
  <c r="J22" i="1" s="1"/>
  <c r="H23" i="1"/>
  <c r="J24" i="1"/>
  <c r="J26" i="1"/>
  <c r="J28" i="1"/>
  <c r="J30" i="1"/>
  <c r="J32" i="1"/>
  <c r="J34" i="1"/>
  <c r="J36" i="1"/>
  <c r="J38" i="1"/>
</calcChain>
</file>

<file path=xl/sharedStrings.xml><?xml version="1.0" encoding="utf-8"?>
<sst xmlns="http://schemas.openxmlformats.org/spreadsheetml/2006/main" count="90" uniqueCount="87">
  <si>
    <t>TABEL 38</t>
  </si>
  <si>
    <t>mas sus</t>
  </si>
  <si>
    <t>Kelapa Total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</si>
  <si>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</si>
  <si>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KELAPA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</si>
  <si>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</si>
  <si>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</si>
  <si>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</si>
  <si>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</si>
  <si>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</si>
  <si>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</si>
  <si>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</si>
  <si>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</si>
  <si>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</si>
  <si>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</si>
  <si>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</si>
  <si>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</si>
  <si>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</si>
  <si>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</si>
  <si>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</si>
  <si>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</si>
  <si>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</si>
  <si>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</si>
  <si>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petani kk?</t>
  </si>
  <si>
    <t>self answered pasted</t>
  </si>
  <si>
    <t>Kab. Banyumas</t>
  </si>
  <si>
    <t>Kab. Purbalingga</t>
  </si>
  <si>
    <t>Kab. Banjarnegara</t>
  </si>
  <si>
    <t>jjumlah petani terlalu besar, th 2107 berbeda</t>
  </si>
  <si>
    <t>perbedaan data pusat dan kab self answerd pasted</t>
  </si>
  <si>
    <t>Kab. Kebumen</t>
  </si>
  <si>
    <t>petani fix pake yang 2018</t>
  </si>
  <si>
    <t>fix</t>
  </si>
  <si>
    <t>Kab. Purworejo</t>
  </si>
  <si>
    <t>Kab. Wonosobo</t>
  </si>
  <si>
    <t>Kab. Magelang</t>
  </si>
  <si>
    <t>petani kejauhan</t>
  </si>
  <si>
    <t>answerd pasted</t>
  </si>
  <si>
    <t>Kab. Boyolali</t>
  </si>
  <si>
    <t>petani 2017 beda dengan 2018?</t>
  </si>
  <si>
    <t>perbedaan data pusat dan kab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</si>
  <si>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</si>
  <si>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</si>
  <si>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</si>
  <si>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</si>
  <si>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</si>
  <si>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</si>
  <si>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</si>
  <si>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</si>
  <si>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</si>
  <si>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</si>
  <si>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</si>
  <si>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</si>
  <si>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</si>
  <si>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</si>
  <si>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</si>
  <si>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</si>
  <si>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</si>
  <si>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</si>
  <si>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</si>
  <si>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</si>
  <si>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answerd not koreksi;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</si>
  <si>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</si>
  <si>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</si>
  <si>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</si>
  <si>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</si>
  <si>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</si>
  <si>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</si>
  <si>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</si>
  <si>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</si>
  <si>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</si>
  <si>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</si>
  <si>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</si>
  <si>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</si>
  <si>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</si>
  <si>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</si>
  <si>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</si>
  <si>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</si>
  <si>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</si>
  <si>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</si>
  <si>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</si>
  <si>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Equivalent Kopra</t>
  </si>
  <si>
    <t>Merupakan penggabungan Kelapa Dalam, Genjah dan Kelapa Hibrida</t>
  </si>
  <si>
    <t>https://datawrapper.dwcdn.net/KiVE8/2/</t>
  </si>
  <si>
    <t>https://datawrapper.dwcdn.net/XzmW8/1/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</si>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</sst>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_);_(* \(#,##0\);_(* &quot;-&quot;??_);_(@_)"/>
  </numFmts>
  <fonts count="16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sz val="12"/>
      <color theme="1"/>
      <name val="Tahoma"/>
    </font>
    <font>
      <i/>
      <sz val="11"/>
      <color rgb="FF000000"/>
      <name val="Tahoma"/>
    </font>
    <font>
      <u/>
      <sz val="11"/>
      <color theme="1"/>
      <name val="Tahoma"/>
    </font>
    <font>
      <u/>
      <sz val="11"/>
      <color rgb="FF000000"/>
      <name val="Tahoma"/>
    </font>
    <font>
      <sz val="10"/>
      <color theme="1"/>
      <name val="Arial"/>
    </font>
    <font>
      <sz val="1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7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5" fontId="8" fillId="3" borderId="12" xfId="0" applyNumberFormat="1" applyFont="1" applyFill="1" applyBorder="1" applyAlignment="1">
      <alignment vertical="center"/>
    </xf>
    <xf numFmtId="43" fontId="4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5" fontId="1" fillId="3" borderId="15" xfId="0" applyNumberFormat="1" applyFont="1" applyFill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43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6" fontId="9" fillId="0" borderId="0" xfId="0" applyNumberFormat="1" applyFont="1" applyAlignment="1">
      <alignment horizontal="left" vertical="center"/>
    </xf>
    <xf numFmtId="165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166" fontId="4" fillId="0" borderId="0" xfId="0" applyNumberFormat="1" applyFont="1" applyAlignment="1">
      <alignment horizontal="left" vertical="center"/>
    </xf>
    <xf numFmtId="9" fontId="4" fillId="0" borderId="0" xfId="0" applyNumberFormat="1" applyFont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166" fontId="9" fillId="0" borderId="18" xfId="0" applyNumberFormat="1" applyFont="1" applyBorder="1" applyAlignment="1">
      <alignment horizontal="center" vertical="center"/>
    </xf>
    <xf numFmtId="164" fontId="1" fillId="3" borderId="15" xfId="0" applyNumberFormat="1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165" fontId="1" fillId="0" borderId="21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166" fontId="1" fillId="0" borderId="21" xfId="0" applyNumberFormat="1" applyFont="1" applyBorder="1" applyAlignment="1">
      <alignment horizontal="center" vertical="center"/>
    </xf>
    <xf numFmtId="165" fontId="1" fillId="3" borderId="21" xfId="0" applyNumberFormat="1" applyFont="1" applyFill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3" borderId="23" xfId="0" applyFont="1" applyFill="1" applyBorder="1" applyAlignment="1">
      <alignment horizontal="center" vertical="center"/>
    </xf>
    <xf numFmtId="0" fontId="2" fillId="0" borderId="11" xfId="0" applyFont="1" applyBorder="1"/>
    <xf numFmtId="165" fontId="4" fillId="0" borderId="10" xfId="0" applyNumberFormat="1" applyFont="1" applyBorder="1" applyAlignment="1">
      <alignment horizontal="center" vertical="center"/>
    </xf>
    <xf numFmtId="167" fontId="1" fillId="0" borderId="10" xfId="0" applyNumberFormat="1" applyFont="1" applyBorder="1" applyAlignment="1">
      <alignment horizontal="center" vertical="center"/>
    </xf>
    <xf numFmtId="166" fontId="10" fillId="0" borderId="10" xfId="0" applyNumberFormat="1" applyFont="1" applyBorder="1" applyAlignment="1">
      <alignment horizontal="center" vertical="center"/>
    </xf>
    <xf numFmtId="166" fontId="4" fillId="0" borderId="10" xfId="0" applyNumberFormat="1" applyFont="1" applyBorder="1" applyAlignment="1">
      <alignment horizontal="center" vertical="center"/>
    </xf>
    <xf numFmtId="165" fontId="1" fillId="3" borderId="10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6" fontId="4" fillId="0" borderId="7" xfId="0" applyNumberFormat="1" applyFont="1" applyBorder="1" applyAlignment="1">
      <alignment horizontal="center" vertical="center"/>
    </xf>
    <xf numFmtId="165" fontId="4" fillId="2" borderId="7" xfId="0" applyNumberFormat="1" applyFont="1" applyFill="1" applyBorder="1" applyAlignment="1">
      <alignment horizontal="center" vertical="center"/>
    </xf>
    <xf numFmtId="165" fontId="4" fillId="2" borderId="9" xfId="0" applyNumberFormat="1" applyFont="1" applyFill="1" applyBorder="1" applyAlignment="1">
      <alignment horizontal="center" vertical="center"/>
    </xf>
    <xf numFmtId="165" fontId="4" fillId="2" borderId="10" xfId="0" applyNumberFormat="1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1" fillId="2" borderId="0" xfId="0" applyFont="1" applyFill="1" applyAlignment="1">
      <alignment horizontal="left"/>
    </xf>
    <xf numFmtId="165" fontId="11" fillId="2" borderId="0" xfId="0" applyNumberFormat="1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165" fontId="13" fillId="0" borderId="0" xfId="0" applyNumberFormat="1" applyFont="1" applyAlignment="1">
      <alignment horizontal="left"/>
    </xf>
    <xf numFmtId="0" fontId="14" fillId="3" borderId="0" xfId="0" applyFont="1" applyFill="1" applyAlignment="1">
      <alignment horizontal="right"/>
    </xf>
    <xf numFmtId="165" fontId="14" fillId="3" borderId="0" xfId="0" applyNumberFormat="1" applyFont="1" applyFill="1"/>
    <xf numFmtId="0" fontId="4" fillId="0" borderId="0" xfId="0" applyFont="1"/>
    <xf numFmtId="164" fontId="4" fillId="0" borderId="0" xfId="0" applyNumberFormat="1" applyFont="1"/>
    <xf numFmtId="0" fontId="4" fillId="3" borderId="0" xfId="0" applyFont="1" applyFill="1"/>
    <xf numFmtId="0" fontId="3" fillId="0" borderId="0" xfId="0" applyFont="1"/>
    <xf numFmtId="0" fontId="1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Kelapa Dalam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"/>
          <c:y val="0.15806451612903225"/>
          <c:w val="0.84"/>
          <c:h val="0.5580645161290323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'Kelapa Total'!$M$11:$M$42</c:f>
              <c:strCache>
                <c:ptCount val="31"/>
                <c:pt idx="0">
                  <c:v>Kab. Kebumen</c:v>
                </c:pt>
                <c:pt idx="1">
                  <c:v>Kab. Cilacap</c:v>
                </c:pt>
                <c:pt idx="2">
                  <c:v>Kab. Purworejo</c:v>
                </c:pt>
                <c:pt idx="3">
                  <c:v>Kab. Wonogiri</c:v>
                </c:pt>
                <c:pt idx="4">
                  <c:v>Kab. Purbalingga</c:v>
                </c:pt>
                <c:pt idx="5">
                  <c:v>Kab. Banjarnegara</c:v>
                </c:pt>
                <c:pt idx="6">
                  <c:v>Kab. Banyumas</c:v>
                </c:pt>
                <c:pt idx="7">
                  <c:v>Kab. Jepara</c:v>
                </c:pt>
                <c:pt idx="8">
                  <c:v>Kab. Magelang</c:v>
                </c:pt>
                <c:pt idx="9">
                  <c:v>Kab. Rembang</c:v>
                </c:pt>
                <c:pt idx="10">
                  <c:v>Kab. Semarang</c:v>
                </c:pt>
                <c:pt idx="11">
                  <c:v>Kab. Wonosobo</c:v>
                </c:pt>
                <c:pt idx="12">
                  <c:v>Kab. Klaten</c:v>
                </c:pt>
                <c:pt idx="13">
                  <c:v>Kab. Boyolali</c:v>
                </c:pt>
                <c:pt idx="14">
                  <c:v>Kab. Sragen</c:v>
                </c:pt>
                <c:pt idx="15">
                  <c:v>Kab. Pati</c:v>
                </c:pt>
                <c:pt idx="16">
                  <c:v>Kab. Pekalongan</c:v>
                </c:pt>
                <c:pt idx="17">
                  <c:v>Kab. Pemalang</c:v>
                </c:pt>
                <c:pt idx="18">
                  <c:v>Kab. Sukoharjo</c:v>
                </c:pt>
                <c:pt idx="19">
                  <c:v>Kab. Batang</c:v>
                </c:pt>
                <c:pt idx="20">
                  <c:v>Kab. Karanganyar</c:v>
                </c:pt>
                <c:pt idx="21">
                  <c:v>Kab. Grobogan</c:v>
                </c:pt>
                <c:pt idx="22">
                  <c:v>Kab. Blora</c:v>
                </c:pt>
                <c:pt idx="23">
                  <c:v>Kab. Tegal</c:v>
                </c:pt>
                <c:pt idx="24">
                  <c:v>Kab. Brebes</c:v>
                </c:pt>
                <c:pt idx="25">
                  <c:v>Kab. Kendal</c:v>
                </c:pt>
                <c:pt idx="26">
                  <c:v>Kab. Demak</c:v>
                </c:pt>
                <c:pt idx="27">
                  <c:v>Kab. Temanggung</c:v>
                </c:pt>
                <c:pt idx="28">
                  <c:v>Kab. Kudus</c:v>
                </c:pt>
                <c:pt idx="29">
                  <c:v>Kota Salatiga</c:v>
                </c:pt>
                <c:pt idx="30">
                  <c:v>Kota Semarang</c:v>
                </c:pt>
              </c:strCache>
            </c:strRef>
          </c:cat>
          <c:val>
            <c:numRef>
              <c:f>'Kelapa Total'!$N$11:$N$42</c:f>
              <c:numCache>
                <c:formatCode>_(* #,##0.00_);_(* \(#,##0.00\);_(* \-??_);_(@_)</c:formatCode>
                <c:ptCount val="32"/>
                <c:pt idx="0">
                  <c:v>28475.42</c:v>
                </c:pt>
                <c:pt idx="1">
                  <c:v>24098.219999999899</c:v>
                </c:pt>
                <c:pt idx="2">
                  <c:v>23354.3</c:v>
                </c:pt>
                <c:pt idx="3">
                  <c:v>16106</c:v>
                </c:pt>
                <c:pt idx="4">
                  <c:v>13188.3</c:v>
                </c:pt>
                <c:pt idx="5">
                  <c:v>12485.47</c:v>
                </c:pt>
                <c:pt idx="6">
                  <c:v>12427.28</c:v>
                </c:pt>
                <c:pt idx="7">
                  <c:v>11614.23</c:v>
                </c:pt>
                <c:pt idx="8">
                  <c:v>6010.8</c:v>
                </c:pt>
                <c:pt idx="9">
                  <c:v>5963</c:v>
                </c:pt>
                <c:pt idx="10">
                  <c:v>5461.2699999999904</c:v>
                </c:pt>
                <c:pt idx="11">
                  <c:v>4666.54</c:v>
                </c:pt>
                <c:pt idx="12">
                  <c:v>4228.12</c:v>
                </c:pt>
                <c:pt idx="13">
                  <c:v>3720.2799999999902</c:v>
                </c:pt>
                <c:pt idx="14">
                  <c:v>3587.99</c:v>
                </c:pt>
                <c:pt idx="15">
                  <c:v>3405.14</c:v>
                </c:pt>
                <c:pt idx="16">
                  <c:v>2969.19</c:v>
                </c:pt>
                <c:pt idx="17">
                  <c:v>2602.86</c:v>
                </c:pt>
                <c:pt idx="18">
                  <c:v>2294.4499999999998</c:v>
                </c:pt>
                <c:pt idx="19">
                  <c:v>1592.77</c:v>
                </c:pt>
                <c:pt idx="20">
                  <c:v>1371.55</c:v>
                </c:pt>
                <c:pt idx="21">
                  <c:v>1368.5</c:v>
                </c:pt>
                <c:pt idx="22">
                  <c:v>1243.05</c:v>
                </c:pt>
                <c:pt idx="23">
                  <c:v>1090.3</c:v>
                </c:pt>
                <c:pt idx="24">
                  <c:v>1080.83</c:v>
                </c:pt>
                <c:pt idx="25">
                  <c:v>971.29</c:v>
                </c:pt>
                <c:pt idx="26">
                  <c:v>767.15</c:v>
                </c:pt>
                <c:pt idx="27">
                  <c:v>564.30999999999995</c:v>
                </c:pt>
                <c:pt idx="28">
                  <c:v>238.39</c:v>
                </c:pt>
                <c:pt idx="29">
                  <c:v>192.14</c:v>
                </c:pt>
                <c:pt idx="30">
                  <c:v>183.33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546-4C45-B319-EA012CC9B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363125"/>
        <c:axId val="763327092"/>
      </c:barChart>
      <c:catAx>
        <c:axId val="10343631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63327092"/>
        <c:crosses val="autoZero"/>
        <c:auto val="1"/>
        <c:lblAlgn val="ctr"/>
        <c:lblOffset val="100"/>
        <c:noMultiLvlLbl val="1"/>
      </c:catAx>
      <c:valAx>
        <c:axId val="76332709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03436312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Kelapa Dalam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605042016806722"/>
          <c:y val="0.15806451612903225"/>
          <c:w val="0.83403361344537819"/>
          <c:h val="0.54838709677419351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'Kelapa Total'!$O$11:$O$42</c:f>
              <c:strCache>
                <c:ptCount val="31"/>
                <c:pt idx="0">
                  <c:v>Kab. Purworejo</c:v>
                </c:pt>
                <c:pt idx="1">
                  <c:v>Kab. Kebumen</c:v>
                </c:pt>
                <c:pt idx="2">
                  <c:v>Kab. Banyumas</c:v>
                </c:pt>
                <c:pt idx="3">
                  <c:v>Kab. Cilacap</c:v>
                </c:pt>
                <c:pt idx="4">
                  <c:v>Kab. Purbalingga</c:v>
                </c:pt>
                <c:pt idx="5">
                  <c:v>Kab. Banjarnegara</c:v>
                </c:pt>
                <c:pt idx="6">
                  <c:v>Kab. Jepara</c:v>
                </c:pt>
                <c:pt idx="7">
                  <c:v>Kab. Wonogiri</c:v>
                </c:pt>
                <c:pt idx="8">
                  <c:v>Kab. Magelang</c:v>
                </c:pt>
                <c:pt idx="9">
                  <c:v>Kab. Klaten</c:v>
                </c:pt>
                <c:pt idx="10">
                  <c:v>Kab. Pekalongan</c:v>
                </c:pt>
                <c:pt idx="11">
                  <c:v>Kab. Semarang</c:v>
                </c:pt>
                <c:pt idx="12">
                  <c:v>Kab. Pati</c:v>
                </c:pt>
                <c:pt idx="13">
                  <c:v>Kab. Rembang</c:v>
                </c:pt>
                <c:pt idx="14">
                  <c:v>Kab. Wonosobo</c:v>
                </c:pt>
                <c:pt idx="15">
                  <c:v>Kab. Boyolali</c:v>
                </c:pt>
                <c:pt idx="16">
                  <c:v>Kab. Pemalang</c:v>
                </c:pt>
                <c:pt idx="17">
                  <c:v>Kab. Sragen</c:v>
                </c:pt>
                <c:pt idx="18">
                  <c:v>Kab. Batang</c:v>
                </c:pt>
                <c:pt idx="19">
                  <c:v>Kab. Brebes</c:v>
                </c:pt>
                <c:pt idx="20">
                  <c:v>Kab. Demak</c:v>
                </c:pt>
                <c:pt idx="21">
                  <c:v>Kab. Sukoharjo</c:v>
                </c:pt>
                <c:pt idx="22">
                  <c:v>Kab. Kendal</c:v>
                </c:pt>
                <c:pt idx="23">
                  <c:v>Kab. Karanganyar</c:v>
                </c:pt>
                <c:pt idx="24">
                  <c:v>Kab. Temanggung</c:v>
                </c:pt>
                <c:pt idx="25">
                  <c:v>Kab. Tegal</c:v>
                </c:pt>
                <c:pt idx="26">
                  <c:v>Kab. Grobogan</c:v>
                </c:pt>
                <c:pt idx="27">
                  <c:v>Kota Salatiga</c:v>
                </c:pt>
                <c:pt idx="28">
                  <c:v>Kab. Kudus</c:v>
                </c:pt>
                <c:pt idx="29">
                  <c:v>Kab. Blora</c:v>
                </c:pt>
                <c:pt idx="30">
                  <c:v>Kota Semarang</c:v>
                </c:pt>
              </c:strCache>
            </c:strRef>
          </c:cat>
          <c:val>
            <c:numRef>
              <c:f>'Kelapa Total'!$P$11:$P$42</c:f>
              <c:numCache>
                <c:formatCode>_(* #,##0.00_);_(* \(#,##0.00\);_(* \-??_);_(@_)</c:formatCode>
                <c:ptCount val="32"/>
                <c:pt idx="0">
                  <c:v>21209.55</c:v>
                </c:pt>
                <c:pt idx="1">
                  <c:v>18458.949999999899</c:v>
                </c:pt>
                <c:pt idx="2">
                  <c:v>15373.12</c:v>
                </c:pt>
                <c:pt idx="3">
                  <c:v>12999.11</c:v>
                </c:pt>
                <c:pt idx="4">
                  <c:v>11748.85</c:v>
                </c:pt>
                <c:pt idx="5">
                  <c:v>9250.9299999999894</c:v>
                </c:pt>
                <c:pt idx="6">
                  <c:v>8259.01</c:v>
                </c:pt>
                <c:pt idx="7">
                  <c:v>6091.62</c:v>
                </c:pt>
                <c:pt idx="8">
                  <c:v>5994.99</c:v>
                </c:pt>
                <c:pt idx="9">
                  <c:v>3934.32</c:v>
                </c:pt>
                <c:pt idx="10">
                  <c:v>3788.32</c:v>
                </c:pt>
                <c:pt idx="11">
                  <c:v>3437.2599999999902</c:v>
                </c:pt>
                <c:pt idx="12">
                  <c:v>3331.17</c:v>
                </c:pt>
                <c:pt idx="13">
                  <c:v>3118.47</c:v>
                </c:pt>
                <c:pt idx="14">
                  <c:v>2211</c:v>
                </c:pt>
                <c:pt idx="15">
                  <c:v>2110.1</c:v>
                </c:pt>
                <c:pt idx="16">
                  <c:v>1443.77</c:v>
                </c:pt>
                <c:pt idx="17">
                  <c:v>1352.62</c:v>
                </c:pt>
                <c:pt idx="18">
                  <c:v>1001.09</c:v>
                </c:pt>
                <c:pt idx="19">
                  <c:v>767.36</c:v>
                </c:pt>
                <c:pt idx="20">
                  <c:v>658.969999999999</c:v>
                </c:pt>
                <c:pt idx="21">
                  <c:v>597.05999999999995</c:v>
                </c:pt>
                <c:pt idx="22">
                  <c:v>499.54999999999899</c:v>
                </c:pt>
                <c:pt idx="23">
                  <c:v>461.4</c:v>
                </c:pt>
                <c:pt idx="24">
                  <c:v>290.77</c:v>
                </c:pt>
                <c:pt idx="25">
                  <c:v>269.56</c:v>
                </c:pt>
                <c:pt idx="26">
                  <c:v>242.32</c:v>
                </c:pt>
                <c:pt idx="27">
                  <c:v>81.59</c:v>
                </c:pt>
                <c:pt idx="28">
                  <c:v>56.2</c:v>
                </c:pt>
                <c:pt idx="29">
                  <c:v>39.56</c:v>
                </c:pt>
                <c:pt idx="30">
                  <c:v>0.5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8EE-44DB-BE4C-520A1DE308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7851779"/>
        <c:axId val="1685927744"/>
      </c:barChart>
      <c:catAx>
        <c:axId val="7578517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685927744"/>
        <c:crosses val="autoZero"/>
        <c:auto val="1"/>
        <c:lblAlgn val="ctr"/>
        <c:lblOffset val="100"/>
        <c:noMultiLvlLbl val="1"/>
      </c:catAx>
      <c:valAx>
        <c:axId val="168592774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57851779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r>
              <a:rPr lang="id-ID" sz="1000" b="0" i="0">
                <a:solidFill>
                  <a:srgbClr val="000000"/>
                </a:solidFill>
                <a:latin typeface="Calibri"/>
              </a:rPr>
              <a:t>Perkembangan Produksi Kelapa Dalam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'Kelapa Total'!$B$65:$B$70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'Kelapa Total'!$C$65:$C$70</c:f>
              <c:numCache>
                <c:formatCode>_(* #,##0.00_);_(* \(#,##0.00\);_(* \-??_);_(@_)</c:formatCode>
                <c:ptCount val="6"/>
                <c:pt idx="0">
                  <c:v>139079.08999999994</c:v>
                </c:pt>
                <c:pt idx="1">
                  <c:v>152501.03999999998</c:v>
                </c:pt>
                <c:pt idx="2">
                  <c:v>159305.76999999996</c:v>
                </c:pt>
                <c:pt idx="3">
                  <c:v>170688.30000000002</c:v>
                </c:pt>
                <c:pt idx="4">
                  <c:v>174040.64344110002</c:v>
                </c:pt>
                <c:pt idx="5">
                  <c:v>168716.63866382785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A8-48BC-88D3-4611C5C9D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979097"/>
        <c:axId val="2130329584"/>
      </c:lineChart>
      <c:catAx>
        <c:axId val="1349790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130329584"/>
        <c:crosses val="autoZero"/>
        <c:auto val="1"/>
        <c:lblAlgn val="ctr"/>
        <c:lblOffset val="100"/>
        <c:noMultiLvlLbl val="1"/>
      </c:catAx>
      <c:valAx>
        <c:axId val="2130329584"/>
        <c:scaling>
          <c:orientation val="minMax"/>
          <c:min val="14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3497909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714375</xdr:colOff>
      <xdr:row>10</xdr:row>
      <xdr:rowOff>133350</xdr:rowOff>
    </xdr:from>
    <xdr:ext cx="4524375" cy="2952750"/>
    <xdr:graphicFrame macro="">
      <xdr:nvGraphicFramePr>
        <xdr:cNvPr id="2" name="Chart 120" title="Chart">
          <a:extLst>
            <a:ext uri="{FF2B5EF4-FFF2-40B4-BE49-F238E27FC236}">
              <a16:creationId xmlns:a16="http://schemas.microsoft.com/office/drawing/2014/main" id="{31ABE82B-39C4-46A9-83F2-0B1C50C252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571500</xdr:colOff>
      <xdr:row>25</xdr:row>
      <xdr:rowOff>9525</xdr:rowOff>
    </xdr:from>
    <xdr:ext cx="4810125" cy="3067050"/>
    <xdr:graphicFrame macro="">
      <xdr:nvGraphicFramePr>
        <xdr:cNvPr id="3" name="Chart 121">
          <a:extLst>
            <a:ext uri="{FF2B5EF4-FFF2-40B4-BE49-F238E27FC236}">
              <a16:creationId xmlns:a16="http://schemas.microsoft.com/office/drawing/2014/main" id="{4BC935EC-F340-4EA5-9FF0-548C4F35EF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133350</xdr:colOff>
      <xdr:row>61</xdr:row>
      <xdr:rowOff>171450</xdr:rowOff>
    </xdr:from>
    <xdr:ext cx="4324350" cy="3067050"/>
    <xdr:graphicFrame macro="">
      <xdr:nvGraphicFramePr>
        <xdr:cNvPr id="4" name="Chart 122" title="Chart">
          <a:extLst>
            <a:ext uri="{FF2B5EF4-FFF2-40B4-BE49-F238E27FC236}">
              <a16:creationId xmlns:a16="http://schemas.microsoft.com/office/drawing/2014/main" id="{5842F134-F416-4E93-A8C8-9A370203CF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1000125</xdr:colOff>
      <xdr:row>59</xdr:row>
      <xdr:rowOff>190500</xdr:rowOff>
    </xdr:from>
    <xdr:ext cx="6562725" cy="5953125"/>
    <xdr:pic>
      <xdr:nvPicPr>
        <xdr:cNvPr id="5" name="image71.png" title="Gambar">
          <a:extLst>
            <a:ext uri="{FF2B5EF4-FFF2-40B4-BE49-F238E27FC236}">
              <a16:creationId xmlns:a16="http://schemas.microsoft.com/office/drawing/2014/main" id="{5987B77A-63EA-46EA-B908-9068ED04FA9A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811125" y="111347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152400</xdr:colOff>
      <xdr:row>62</xdr:row>
      <xdr:rowOff>152400</xdr:rowOff>
    </xdr:from>
    <xdr:ext cx="4981575" cy="4514850"/>
    <xdr:pic>
      <xdr:nvPicPr>
        <xdr:cNvPr id="6" name="image69.png" title="Image">
          <a:extLst>
            <a:ext uri="{FF2B5EF4-FFF2-40B4-BE49-F238E27FC236}">
              <a16:creationId xmlns:a16="http://schemas.microsoft.com/office/drawing/2014/main" id="{C4DA52E9-8ADF-48E1-AB35-37C0155CCDA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572000" y="11753850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1">
          <cell r="C11">
            <v>6783.74</v>
          </cell>
          <cell r="D11">
            <v>13072.56</v>
          </cell>
          <cell r="E11">
            <v>4030.96</v>
          </cell>
          <cell r="G11">
            <v>12999.11</v>
          </cell>
          <cell r="I11">
            <v>68937</v>
          </cell>
        </row>
        <row r="12">
          <cell r="C12">
            <v>2009.6</v>
          </cell>
          <cell r="D12">
            <v>10224.99</v>
          </cell>
          <cell r="E12">
            <v>192.69</v>
          </cell>
          <cell r="G12">
            <v>15373.12</v>
          </cell>
          <cell r="I12">
            <v>65280</v>
          </cell>
        </row>
        <row r="13">
          <cell r="C13">
            <v>1130.3499999999999</v>
          </cell>
          <cell r="D13">
            <v>11450.67</v>
          </cell>
          <cell r="E13">
            <v>366.92</v>
          </cell>
          <cell r="G13">
            <v>11748.85</v>
          </cell>
          <cell r="I13">
            <v>63329</v>
          </cell>
        </row>
        <row r="14">
          <cell r="C14">
            <v>1767.56</v>
          </cell>
          <cell r="D14">
            <v>9893.91</v>
          </cell>
          <cell r="E14">
            <v>392.41</v>
          </cell>
          <cell r="G14">
            <v>9227.1299999999992</v>
          </cell>
          <cell r="I14">
            <v>43893</v>
          </cell>
        </row>
        <row r="15">
          <cell r="C15">
            <v>8303.16</v>
          </cell>
          <cell r="D15">
            <v>19045.29</v>
          </cell>
          <cell r="E15">
            <v>661.9</v>
          </cell>
          <cell r="G15">
            <v>18359.28</v>
          </cell>
          <cell r="I15">
            <v>101687</v>
          </cell>
        </row>
        <row r="16">
          <cell r="C16">
            <v>4110.34</v>
          </cell>
          <cell r="D16">
            <v>18496.349999999999</v>
          </cell>
          <cell r="E16">
            <v>469.99</v>
          </cell>
          <cell r="G16">
            <v>21206.39</v>
          </cell>
          <cell r="I16">
            <v>64701</v>
          </cell>
        </row>
        <row r="17">
          <cell r="C17">
            <v>231.02</v>
          </cell>
          <cell r="D17">
            <v>3928.67</v>
          </cell>
          <cell r="E17">
            <v>504.75</v>
          </cell>
          <cell r="G17">
            <v>2211</v>
          </cell>
          <cell r="I17">
            <v>19055</v>
          </cell>
        </row>
        <row r="18">
          <cell r="C18">
            <v>1417.8</v>
          </cell>
          <cell r="D18">
            <v>4370.5</v>
          </cell>
          <cell r="E18">
            <v>128.5</v>
          </cell>
          <cell r="G18">
            <v>5993.97</v>
          </cell>
          <cell r="I18">
            <v>44647</v>
          </cell>
        </row>
        <row r="19">
          <cell r="C19">
            <v>622.27</v>
          </cell>
          <cell r="D19">
            <v>2102.58</v>
          </cell>
          <cell r="E19">
            <v>272.39</v>
          </cell>
          <cell r="G19">
            <v>2110.1</v>
          </cell>
          <cell r="I19">
            <v>28111</v>
          </cell>
        </row>
        <row r="20">
          <cell r="C20">
            <v>1068.03</v>
          </cell>
          <cell r="D20">
            <v>2876.39</v>
          </cell>
          <cell r="E20">
            <v>253.23</v>
          </cell>
          <cell r="G20">
            <v>3905.5</v>
          </cell>
          <cell r="I20">
            <v>20980</v>
          </cell>
        </row>
        <row r="21">
          <cell r="C21">
            <v>517.38</v>
          </cell>
          <cell r="D21">
            <v>890.82</v>
          </cell>
          <cell r="E21">
            <v>66.25</v>
          </cell>
          <cell r="G21">
            <v>597.05999999999995</v>
          </cell>
          <cell r="I21">
            <v>4000</v>
          </cell>
        </row>
        <row r="22">
          <cell r="C22">
            <v>3186</v>
          </cell>
          <cell r="D22">
            <v>11110</v>
          </cell>
          <cell r="E22">
            <v>1810</v>
          </cell>
          <cell r="G22">
            <v>6091.62</v>
          </cell>
          <cell r="I22">
            <v>53830</v>
          </cell>
        </row>
        <row r="23">
          <cell r="C23">
            <v>165.66</v>
          </cell>
          <cell r="D23">
            <v>686.3</v>
          </cell>
          <cell r="E23">
            <v>117.47</v>
          </cell>
          <cell r="G23">
            <v>460.43</v>
          </cell>
          <cell r="I23">
            <v>6033</v>
          </cell>
        </row>
        <row r="24">
          <cell r="C24">
            <v>48.23</v>
          </cell>
          <cell r="D24">
            <v>2700.05</v>
          </cell>
          <cell r="E24">
            <v>710.1</v>
          </cell>
          <cell r="G24">
            <v>1352.62</v>
          </cell>
          <cell r="I24">
            <v>9317</v>
          </cell>
        </row>
        <row r="25">
          <cell r="C25">
            <v>503</v>
          </cell>
          <cell r="D25">
            <v>744.8</v>
          </cell>
          <cell r="E25">
            <v>43.5</v>
          </cell>
          <cell r="G25">
            <v>242.32</v>
          </cell>
          <cell r="I25">
            <v>12813</v>
          </cell>
        </row>
        <row r="26">
          <cell r="C26">
            <v>644.04</v>
          </cell>
          <cell r="D26">
            <v>425.31</v>
          </cell>
          <cell r="E26">
            <v>173.7</v>
          </cell>
          <cell r="G26">
            <v>39.56</v>
          </cell>
          <cell r="I26">
            <v>13113</v>
          </cell>
        </row>
        <row r="27">
          <cell r="C27">
            <v>1725</v>
          </cell>
          <cell r="D27">
            <v>3831</v>
          </cell>
          <cell r="E27">
            <v>407</v>
          </cell>
          <cell r="G27">
            <v>3118.47</v>
          </cell>
          <cell r="I27">
            <v>13906</v>
          </cell>
        </row>
        <row r="28">
          <cell r="C28">
            <v>482.88</v>
          </cell>
          <cell r="D28">
            <v>2874.52</v>
          </cell>
          <cell r="E28">
            <v>47.74</v>
          </cell>
          <cell r="G28">
            <v>3331.17</v>
          </cell>
          <cell r="I28">
            <v>34844</v>
          </cell>
        </row>
        <row r="29">
          <cell r="C29">
            <v>103.7</v>
          </cell>
          <cell r="D29">
            <v>113.06</v>
          </cell>
          <cell r="E29">
            <v>21.63</v>
          </cell>
          <cell r="G29">
            <v>56.2</v>
          </cell>
          <cell r="I29">
            <v>985</v>
          </cell>
        </row>
        <row r="30">
          <cell r="C30">
            <v>1216.6600000000001</v>
          </cell>
          <cell r="D30">
            <v>9406.98</v>
          </cell>
          <cell r="E30">
            <v>928.38</v>
          </cell>
          <cell r="G30">
            <v>8259.01</v>
          </cell>
          <cell r="I30">
            <v>30821</v>
          </cell>
        </row>
        <row r="31">
          <cell r="C31">
            <v>2</v>
          </cell>
          <cell r="D31">
            <v>658.97</v>
          </cell>
          <cell r="E31">
            <v>37.409999999999997</v>
          </cell>
          <cell r="G31">
            <v>623.77</v>
          </cell>
          <cell r="I31">
            <v>3195</v>
          </cell>
        </row>
        <row r="32">
          <cell r="C32">
            <v>840.16</v>
          </cell>
          <cell r="D32">
            <v>4180.21</v>
          </cell>
          <cell r="E32">
            <v>315.97000000000003</v>
          </cell>
          <cell r="G32">
            <v>3408.41</v>
          </cell>
          <cell r="I32">
            <v>19754</v>
          </cell>
        </row>
        <row r="33">
          <cell r="C33">
            <v>123.42</v>
          </cell>
          <cell r="D33">
            <v>430.47</v>
          </cell>
          <cell r="E33">
            <v>10.42</v>
          </cell>
          <cell r="G33">
            <v>290.77</v>
          </cell>
          <cell r="I33">
            <v>3373</v>
          </cell>
        </row>
        <row r="34">
          <cell r="C34">
            <v>127.43</v>
          </cell>
          <cell r="D34">
            <v>761.83</v>
          </cell>
          <cell r="E34">
            <v>73.33</v>
          </cell>
          <cell r="G34">
            <v>491.84</v>
          </cell>
          <cell r="I34">
            <v>8232</v>
          </cell>
        </row>
        <row r="35">
          <cell r="C35">
            <v>123.95</v>
          </cell>
          <cell r="D35">
            <v>979.51</v>
          </cell>
          <cell r="E35">
            <v>173.5</v>
          </cell>
          <cell r="G35">
            <v>833.84</v>
          </cell>
          <cell r="I35">
            <v>9677</v>
          </cell>
        </row>
        <row r="36">
          <cell r="C36">
            <v>39.36</v>
          </cell>
          <cell r="D36">
            <v>2848.27</v>
          </cell>
          <cell r="E36">
            <v>81.56</v>
          </cell>
          <cell r="G36">
            <v>3788.32</v>
          </cell>
          <cell r="I36">
            <v>16464</v>
          </cell>
        </row>
        <row r="37">
          <cell r="C37">
            <v>158.03</v>
          </cell>
          <cell r="D37">
            <v>2135.7399999999998</v>
          </cell>
          <cell r="E37">
            <v>309.08999999999997</v>
          </cell>
          <cell r="G37">
            <v>1443.77</v>
          </cell>
          <cell r="I37">
            <v>6479</v>
          </cell>
        </row>
        <row r="38">
          <cell r="C38">
            <v>362.85</v>
          </cell>
          <cell r="D38">
            <v>653.17999999999995</v>
          </cell>
          <cell r="E38">
            <v>56.77</v>
          </cell>
          <cell r="G38">
            <v>268.33</v>
          </cell>
          <cell r="I38">
            <v>7055</v>
          </cell>
        </row>
        <row r="39">
          <cell r="C39">
            <v>181.08</v>
          </cell>
          <cell r="D39">
            <v>866.25</v>
          </cell>
          <cell r="E39">
            <v>33.5</v>
          </cell>
          <cell r="G39">
            <v>767.36</v>
          </cell>
          <cell r="I39">
            <v>9302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  <cell r="I40">
            <v>0</v>
          </cell>
        </row>
        <row r="41">
          <cell r="C41">
            <v>10</v>
          </cell>
          <cell r="D41">
            <v>179.58</v>
          </cell>
          <cell r="E41">
            <v>2.56</v>
          </cell>
          <cell r="G41">
            <v>81.59</v>
          </cell>
          <cell r="I41">
            <v>903</v>
          </cell>
        </row>
        <row r="42">
          <cell r="C42">
            <v>0</v>
          </cell>
          <cell r="D42">
            <v>178.33</v>
          </cell>
          <cell r="E42">
            <v>5</v>
          </cell>
          <cell r="G42">
            <v>0.5</v>
          </cell>
          <cell r="I42">
            <v>0</v>
          </cell>
        </row>
      </sheetData>
      <sheetData sheetId="39"/>
      <sheetData sheetId="40">
        <row r="11">
          <cell r="C11">
            <v>210.96</v>
          </cell>
          <cell r="D11">
            <v>0</v>
          </cell>
          <cell r="E11">
            <v>0</v>
          </cell>
          <cell r="G11">
            <v>0</v>
          </cell>
          <cell r="I11">
            <v>964</v>
          </cell>
        </row>
        <row r="12">
          <cell r="C12">
            <v>0</v>
          </cell>
          <cell r="D12">
            <v>0</v>
          </cell>
          <cell r="E12">
            <v>0</v>
          </cell>
          <cell r="G12">
            <v>0</v>
          </cell>
          <cell r="I12">
            <v>0</v>
          </cell>
        </row>
        <row r="13">
          <cell r="C13">
            <v>240.36</v>
          </cell>
          <cell r="D13">
            <v>0</v>
          </cell>
          <cell r="E13">
            <v>0</v>
          </cell>
          <cell r="G13">
            <v>0</v>
          </cell>
          <cell r="I13">
            <v>3602</v>
          </cell>
        </row>
        <row r="14">
          <cell r="C14">
            <v>393.15</v>
          </cell>
          <cell r="D14">
            <v>35.119999999999997</v>
          </cell>
          <cell r="E14">
            <v>3.32</v>
          </cell>
          <cell r="G14">
            <v>23.8</v>
          </cell>
          <cell r="I14">
            <v>900</v>
          </cell>
        </row>
        <row r="15">
          <cell r="C15">
            <v>0</v>
          </cell>
          <cell r="D15">
            <v>0</v>
          </cell>
          <cell r="E15">
            <v>0</v>
          </cell>
          <cell r="G15">
            <v>0</v>
          </cell>
          <cell r="I15">
            <v>0</v>
          </cell>
        </row>
        <row r="16">
          <cell r="C16">
            <v>275.12</v>
          </cell>
          <cell r="D16">
            <v>2.5</v>
          </cell>
          <cell r="E16">
            <v>0</v>
          </cell>
          <cell r="G16">
            <v>3.16</v>
          </cell>
          <cell r="I16">
            <v>1571</v>
          </cell>
        </row>
        <row r="17">
          <cell r="C17">
            <v>2.1</v>
          </cell>
          <cell r="D17">
            <v>0</v>
          </cell>
          <cell r="E17">
            <v>0</v>
          </cell>
          <cell r="G17">
            <v>0</v>
          </cell>
          <cell r="I17">
            <v>4</v>
          </cell>
        </row>
        <row r="18">
          <cell r="C18">
            <v>0</v>
          </cell>
          <cell r="D18">
            <v>0</v>
          </cell>
          <cell r="E18">
            <v>0</v>
          </cell>
          <cell r="G18">
            <v>0</v>
          </cell>
          <cell r="I18">
            <v>0</v>
          </cell>
        </row>
        <row r="19">
          <cell r="C19">
            <v>696.37</v>
          </cell>
          <cell r="D19">
            <v>0</v>
          </cell>
          <cell r="E19">
            <v>26.67</v>
          </cell>
          <cell r="G19">
            <v>0</v>
          </cell>
          <cell r="I19">
            <v>7554</v>
          </cell>
        </row>
        <row r="20">
          <cell r="C20">
            <v>0</v>
          </cell>
          <cell r="D20">
            <v>0</v>
          </cell>
          <cell r="E20">
            <v>0</v>
          </cell>
          <cell r="G20">
            <v>0</v>
          </cell>
          <cell r="I20">
            <v>0</v>
          </cell>
        </row>
        <row r="21">
          <cell r="C21">
            <v>820</v>
          </cell>
          <cell r="D21">
            <v>0</v>
          </cell>
          <cell r="E21">
            <v>0</v>
          </cell>
          <cell r="G21">
            <v>0</v>
          </cell>
          <cell r="I21">
            <v>1866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  <cell r="I22">
            <v>0</v>
          </cell>
        </row>
        <row r="23">
          <cell r="C23">
            <v>393.52</v>
          </cell>
          <cell r="D23">
            <v>0</v>
          </cell>
          <cell r="E23">
            <v>0</v>
          </cell>
          <cell r="G23">
            <v>0</v>
          </cell>
          <cell r="I23">
            <v>1948</v>
          </cell>
        </row>
        <row r="24">
          <cell r="C24">
            <v>126.66</v>
          </cell>
          <cell r="D24">
            <v>0</v>
          </cell>
          <cell r="E24">
            <v>2.95</v>
          </cell>
          <cell r="G24">
            <v>0</v>
          </cell>
          <cell r="I24">
            <v>1506</v>
          </cell>
        </row>
        <row r="25">
          <cell r="C25">
            <v>76.099999999999994</v>
          </cell>
          <cell r="D25">
            <v>0</v>
          </cell>
          <cell r="E25">
            <v>1.1000000000000001</v>
          </cell>
          <cell r="G25">
            <v>0</v>
          </cell>
          <cell r="I25">
            <v>2018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  <cell r="I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  <cell r="I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  <cell r="I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  <cell r="I29">
            <v>0</v>
          </cell>
        </row>
        <row r="30">
          <cell r="C30">
            <v>62.21</v>
          </cell>
          <cell r="D30">
            <v>0</v>
          </cell>
          <cell r="E30">
            <v>0</v>
          </cell>
          <cell r="G30">
            <v>0</v>
          </cell>
          <cell r="I30">
            <v>543</v>
          </cell>
        </row>
        <row r="31">
          <cell r="C31">
            <v>19.86</v>
          </cell>
          <cell r="D31">
            <v>10.46</v>
          </cell>
          <cell r="E31">
            <v>0</v>
          </cell>
          <cell r="G31">
            <v>6.16</v>
          </cell>
          <cell r="I31">
            <v>131</v>
          </cell>
        </row>
        <row r="32">
          <cell r="C32">
            <v>0</v>
          </cell>
          <cell r="D32">
            <v>0</v>
          </cell>
          <cell r="E32">
            <v>0</v>
          </cell>
          <cell r="G32">
            <v>0</v>
          </cell>
          <cell r="I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  <cell r="I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G34">
            <v>0</v>
          </cell>
          <cell r="I34">
            <v>0</v>
          </cell>
        </row>
        <row r="35">
          <cell r="C35">
            <v>5</v>
          </cell>
          <cell r="D35">
            <v>58.2</v>
          </cell>
          <cell r="E35">
            <v>10</v>
          </cell>
          <cell r="G35">
            <v>49.63</v>
          </cell>
          <cell r="I35">
            <v>463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  <cell r="I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  <cell r="I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G38">
            <v>0</v>
          </cell>
          <cell r="I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  <cell r="I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  <cell r="I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G41">
            <v>0</v>
          </cell>
          <cell r="I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G42">
            <v>0</v>
          </cell>
          <cell r="I42">
            <v>0</v>
          </cell>
        </row>
      </sheetData>
      <sheetData sheetId="41">
        <row r="11">
          <cell r="C11">
            <v>0</v>
          </cell>
          <cell r="D11">
            <v>0</v>
          </cell>
          <cell r="E11">
            <v>0</v>
          </cell>
          <cell r="G11">
            <v>0</v>
          </cell>
          <cell r="I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G12">
            <v>0</v>
          </cell>
          <cell r="I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G13">
            <v>0</v>
          </cell>
          <cell r="I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G14">
            <v>0</v>
          </cell>
          <cell r="I14">
            <v>0</v>
          </cell>
        </row>
        <row r="15">
          <cell r="C15">
            <v>356.76</v>
          </cell>
          <cell r="D15">
            <v>106.31</v>
          </cell>
          <cell r="E15">
            <v>2</v>
          </cell>
          <cell r="G15">
            <v>99.67</v>
          </cell>
          <cell r="I15">
            <v>3885</v>
          </cell>
        </row>
        <row r="16">
          <cell r="C16">
            <v>0</v>
          </cell>
          <cell r="D16">
            <v>0</v>
          </cell>
          <cell r="E16">
            <v>0</v>
          </cell>
          <cell r="G16">
            <v>0</v>
          </cell>
          <cell r="I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G17">
            <v>0</v>
          </cell>
          <cell r="I17">
            <v>0</v>
          </cell>
        </row>
        <row r="18">
          <cell r="C18">
            <v>93</v>
          </cell>
          <cell r="D18">
            <v>1</v>
          </cell>
          <cell r="E18">
            <v>0</v>
          </cell>
          <cell r="G18">
            <v>1.02</v>
          </cell>
          <cell r="I18">
            <v>780</v>
          </cell>
        </row>
        <row r="19">
          <cell r="C19">
            <v>0</v>
          </cell>
          <cell r="D19">
            <v>0</v>
          </cell>
          <cell r="E19">
            <v>0</v>
          </cell>
          <cell r="G19">
            <v>0</v>
          </cell>
          <cell r="I19">
            <v>0</v>
          </cell>
        </row>
        <row r="20">
          <cell r="C20">
            <v>0</v>
          </cell>
          <cell r="D20">
            <v>28.39</v>
          </cell>
          <cell r="E20">
            <v>2.08</v>
          </cell>
          <cell r="G20">
            <v>28.82</v>
          </cell>
          <cell r="I20">
            <v>185</v>
          </cell>
        </row>
        <row r="21">
          <cell r="C21">
            <v>0</v>
          </cell>
          <cell r="D21">
            <v>0</v>
          </cell>
          <cell r="E21">
            <v>0</v>
          </cell>
          <cell r="G21">
            <v>0</v>
          </cell>
          <cell r="I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G22">
            <v>0</v>
          </cell>
          <cell r="I22">
            <v>0</v>
          </cell>
        </row>
        <row r="23">
          <cell r="C23">
            <v>6.46</v>
          </cell>
          <cell r="D23">
            <v>1.94</v>
          </cell>
          <cell r="E23">
            <v>0.2</v>
          </cell>
          <cell r="G23">
            <v>0.97</v>
          </cell>
          <cell r="I23">
            <v>391</v>
          </cell>
        </row>
        <row r="24">
          <cell r="C24">
            <v>0</v>
          </cell>
          <cell r="D24">
            <v>0</v>
          </cell>
          <cell r="E24">
            <v>0</v>
          </cell>
          <cell r="G24">
            <v>0</v>
          </cell>
          <cell r="I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G25">
            <v>0</v>
          </cell>
          <cell r="I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G26">
            <v>0</v>
          </cell>
          <cell r="I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G27">
            <v>0</v>
          </cell>
          <cell r="I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G28">
            <v>0</v>
          </cell>
          <cell r="I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G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G30">
            <v>0</v>
          </cell>
          <cell r="I30">
            <v>0</v>
          </cell>
        </row>
        <row r="31">
          <cell r="C31">
            <v>0</v>
          </cell>
          <cell r="D31">
            <v>31.97</v>
          </cell>
          <cell r="E31">
            <v>6.48</v>
          </cell>
          <cell r="G31">
            <v>29.04</v>
          </cell>
          <cell r="I31">
            <v>186</v>
          </cell>
        </row>
        <row r="32">
          <cell r="C32">
            <v>83.24</v>
          </cell>
          <cell r="D32">
            <v>33.380000000000003</v>
          </cell>
          <cell r="E32">
            <v>8.31</v>
          </cell>
          <cell r="G32">
            <v>28.85</v>
          </cell>
          <cell r="I32">
            <v>387</v>
          </cell>
        </row>
        <row r="33">
          <cell r="C33">
            <v>0</v>
          </cell>
          <cell r="D33">
            <v>0</v>
          </cell>
          <cell r="E33">
            <v>0</v>
          </cell>
          <cell r="G33">
            <v>0</v>
          </cell>
          <cell r="I33">
            <v>0</v>
          </cell>
        </row>
        <row r="34">
          <cell r="C34">
            <v>1.5</v>
          </cell>
          <cell r="D34">
            <v>6.7</v>
          </cell>
          <cell r="E34">
            <v>0.5</v>
          </cell>
          <cell r="G34">
            <v>7.71</v>
          </cell>
          <cell r="I34">
            <v>140</v>
          </cell>
        </row>
        <row r="35">
          <cell r="C35">
            <v>3</v>
          </cell>
          <cell r="D35">
            <v>201.31</v>
          </cell>
          <cell r="E35">
            <v>38.299999999999997</v>
          </cell>
          <cell r="G35">
            <v>117.62</v>
          </cell>
          <cell r="I35">
            <v>1278</v>
          </cell>
        </row>
        <row r="36">
          <cell r="C36">
            <v>0</v>
          </cell>
          <cell r="D36">
            <v>0</v>
          </cell>
          <cell r="E36">
            <v>0</v>
          </cell>
          <cell r="G36">
            <v>0</v>
          </cell>
          <cell r="I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G37">
            <v>0</v>
          </cell>
          <cell r="I37">
            <v>0</v>
          </cell>
        </row>
        <row r="38">
          <cell r="C38">
            <v>4.7</v>
          </cell>
          <cell r="D38">
            <v>5.0999999999999996</v>
          </cell>
          <cell r="E38">
            <v>7.7</v>
          </cell>
          <cell r="G38">
            <v>1.23</v>
          </cell>
          <cell r="I38">
            <v>47</v>
          </cell>
        </row>
        <row r="39">
          <cell r="C39">
            <v>0</v>
          </cell>
          <cell r="D39">
            <v>0</v>
          </cell>
          <cell r="E39">
            <v>0</v>
          </cell>
          <cell r="G39">
            <v>0</v>
          </cell>
          <cell r="I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G40">
            <v>0</v>
          </cell>
          <cell r="I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G41">
            <v>0</v>
          </cell>
          <cell r="I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G42">
            <v>0</v>
          </cell>
          <cell r="I42">
            <v>0</v>
          </cell>
        </row>
      </sheetData>
      <sheetData sheetId="42"/>
      <sheetData sheetId="43">
        <row r="11">
          <cell r="M11" t="str">
            <v>Kab. Kebumen</v>
          </cell>
          <cell r="N11">
            <v>28475.42</v>
          </cell>
          <cell r="O11" t="str">
            <v>Kab. Purworejo</v>
          </cell>
          <cell r="P11">
            <v>21209.55</v>
          </cell>
        </row>
        <row r="12">
          <cell r="M12" t="str">
            <v>Kab. Cilacap</v>
          </cell>
          <cell r="N12">
            <v>24098.219999999899</v>
          </cell>
          <cell r="O12" t="str">
            <v>Kab. Kebumen</v>
          </cell>
          <cell r="P12">
            <v>18458.949999999899</v>
          </cell>
        </row>
        <row r="13">
          <cell r="M13" t="str">
            <v>Kab. Purworejo</v>
          </cell>
          <cell r="N13">
            <v>23354.3</v>
          </cell>
          <cell r="O13" t="str">
            <v>Kab. Banyumas</v>
          </cell>
          <cell r="P13">
            <v>15373.12</v>
          </cell>
        </row>
        <row r="14">
          <cell r="M14" t="str">
            <v>Kab. Wonogiri</v>
          </cell>
          <cell r="N14">
            <v>16106</v>
          </cell>
          <cell r="O14" t="str">
            <v>Kab. Cilacap</v>
          </cell>
          <cell r="P14">
            <v>12999.11</v>
          </cell>
        </row>
        <row r="15">
          <cell r="M15" t="str">
            <v>Kab. Purbalingga</v>
          </cell>
          <cell r="N15">
            <v>13188.3</v>
          </cell>
          <cell r="O15" t="str">
            <v>Kab. Purbalingga</v>
          </cell>
          <cell r="P15">
            <v>11748.85</v>
          </cell>
        </row>
        <row r="16">
          <cell r="M16" t="str">
            <v>Kab. Banjarnegara</v>
          </cell>
          <cell r="N16">
            <v>12485.47</v>
          </cell>
          <cell r="O16" t="str">
            <v>Kab. Banjarnegara</v>
          </cell>
          <cell r="P16">
            <v>9250.9299999999894</v>
          </cell>
        </row>
        <row r="17">
          <cell r="M17" t="str">
            <v>Kab. Banyumas</v>
          </cell>
          <cell r="N17">
            <v>12427.28</v>
          </cell>
          <cell r="O17" t="str">
            <v>Kab. Jepara</v>
          </cell>
          <cell r="P17">
            <v>8259.01</v>
          </cell>
        </row>
        <row r="18">
          <cell r="M18" t="str">
            <v>Kab. Jepara</v>
          </cell>
          <cell r="N18">
            <v>11614.23</v>
          </cell>
          <cell r="O18" t="str">
            <v>Kab. Wonogiri</v>
          </cell>
          <cell r="P18">
            <v>6091.62</v>
          </cell>
        </row>
        <row r="19">
          <cell r="M19" t="str">
            <v>Kab. Magelang</v>
          </cell>
          <cell r="N19">
            <v>6010.8</v>
          </cell>
          <cell r="O19" t="str">
            <v>Kab. Magelang</v>
          </cell>
          <cell r="P19">
            <v>5994.99</v>
          </cell>
        </row>
        <row r="20">
          <cell r="M20" t="str">
            <v>Kab. Rembang</v>
          </cell>
          <cell r="N20">
            <v>5963</v>
          </cell>
          <cell r="O20" t="str">
            <v>Kab. Klaten</v>
          </cell>
          <cell r="P20">
            <v>3934.32</v>
          </cell>
        </row>
        <row r="21">
          <cell r="M21" t="str">
            <v>Kab. Semarang</v>
          </cell>
          <cell r="N21">
            <v>5461.2699999999904</v>
          </cell>
          <cell r="O21" t="str">
            <v>Kab. Pekalongan</v>
          </cell>
          <cell r="P21">
            <v>3788.32</v>
          </cell>
        </row>
        <row r="22">
          <cell r="M22" t="str">
            <v>Kab. Wonosobo</v>
          </cell>
          <cell r="N22">
            <v>4666.54</v>
          </cell>
          <cell r="O22" t="str">
            <v>Kab. Semarang</v>
          </cell>
          <cell r="P22">
            <v>3437.2599999999902</v>
          </cell>
        </row>
        <row r="23">
          <cell r="M23" t="str">
            <v>Kab. Klaten</v>
          </cell>
          <cell r="N23">
            <v>4228.12</v>
          </cell>
          <cell r="O23" t="str">
            <v>Kab. Pati</v>
          </cell>
          <cell r="P23">
            <v>3331.17</v>
          </cell>
        </row>
        <row r="24">
          <cell r="M24" t="str">
            <v>Kab. Boyolali</v>
          </cell>
          <cell r="N24">
            <v>3720.2799999999902</v>
          </cell>
          <cell r="O24" t="str">
            <v>Kab. Rembang</v>
          </cell>
          <cell r="P24">
            <v>3118.47</v>
          </cell>
        </row>
        <row r="25">
          <cell r="M25" t="str">
            <v>Kab. Sragen</v>
          </cell>
          <cell r="N25">
            <v>3587.99</v>
          </cell>
          <cell r="O25" t="str">
            <v>Kab. Wonosobo</v>
          </cell>
          <cell r="P25">
            <v>2211</v>
          </cell>
        </row>
        <row r="26">
          <cell r="M26" t="str">
            <v>Kab. Pati</v>
          </cell>
          <cell r="N26">
            <v>3405.14</v>
          </cell>
          <cell r="O26" t="str">
            <v>Kab. Boyolali</v>
          </cell>
          <cell r="P26">
            <v>2110.1</v>
          </cell>
        </row>
        <row r="27">
          <cell r="M27" t="str">
            <v>Kab. Pekalongan</v>
          </cell>
          <cell r="N27">
            <v>2969.19</v>
          </cell>
          <cell r="O27" t="str">
            <v>Kab. Pemalang</v>
          </cell>
          <cell r="P27">
            <v>1443.77</v>
          </cell>
        </row>
        <row r="28">
          <cell r="M28" t="str">
            <v>Kab. Pemalang</v>
          </cell>
          <cell r="N28">
            <v>2602.86</v>
          </cell>
          <cell r="O28" t="str">
            <v>Kab. Sragen</v>
          </cell>
          <cell r="P28">
            <v>1352.62</v>
          </cell>
        </row>
        <row r="29">
          <cell r="M29" t="str">
            <v>Kab. Sukoharjo</v>
          </cell>
          <cell r="N29">
            <v>2294.4499999999998</v>
          </cell>
          <cell r="O29" t="str">
            <v>Kab. Batang</v>
          </cell>
          <cell r="P29">
            <v>1001.09</v>
          </cell>
        </row>
        <row r="30">
          <cell r="M30" t="str">
            <v>Kab. Batang</v>
          </cell>
          <cell r="N30">
            <v>1592.77</v>
          </cell>
          <cell r="O30" t="str">
            <v>Kab. Brebes</v>
          </cell>
          <cell r="P30">
            <v>767.36</v>
          </cell>
        </row>
        <row r="31">
          <cell r="M31" t="str">
            <v>Kab. Karanganyar</v>
          </cell>
          <cell r="N31">
            <v>1371.55</v>
          </cell>
          <cell r="O31" t="str">
            <v>Kab. Demak</v>
          </cell>
          <cell r="P31">
            <v>658.969999999999</v>
          </cell>
        </row>
        <row r="32">
          <cell r="M32" t="str">
            <v>Kab. Grobogan</v>
          </cell>
          <cell r="N32">
            <v>1368.5</v>
          </cell>
          <cell r="O32" t="str">
            <v>Kab. Sukoharjo</v>
          </cell>
          <cell r="P32">
            <v>597.05999999999995</v>
          </cell>
        </row>
        <row r="33">
          <cell r="M33" t="str">
            <v>Kab. Blora</v>
          </cell>
          <cell r="N33">
            <v>1243.05</v>
          </cell>
          <cell r="O33" t="str">
            <v>Kab. Kendal</v>
          </cell>
          <cell r="P33">
            <v>499.54999999999899</v>
          </cell>
        </row>
        <row r="34">
          <cell r="M34" t="str">
            <v>Kab. Tegal</v>
          </cell>
          <cell r="N34">
            <v>1090.3</v>
          </cell>
          <cell r="O34" t="str">
            <v>Kab. Karanganyar</v>
          </cell>
          <cell r="P34">
            <v>461.4</v>
          </cell>
        </row>
        <row r="35">
          <cell r="M35" t="str">
            <v>Kab. Brebes</v>
          </cell>
          <cell r="N35">
            <v>1080.83</v>
          </cell>
          <cell r="O35" t="str">
            <v>Kab. Temanggung</v>
          </cell>
          <cell r="P35">
            <v>290.77</v>
          </cell>
        </row>
        <row r="36">
          <cell r="M36" t="str">
            <v>Kab. Kendal</v>
          </cell>
          <cell r="N36">
            <v>971.29</v>
          </cell>
          <cell r="O36" t="str">
            <v>Kab. Tegal</v>
          </cell>
          <cell r="P36">
            <v>269.56</v>
          </cell>
        </row>
        <row r="37">
          <cell r="M37" t="str">
            <v>Kab. Demak</v>
          </cell>
          <cell r="N37">
            <v>767.15</v>
          </cell>
          <cell r="O37" t="str">
            <v>Kab. Grobogan</v>
          </cell>
          <cell r="P37">
            <v>242.32</v>
          </cell>
        </row>
        <row r="38">
          <cell r="M38" t="str">
            <v>Kab. Temanggung</v>
          </cell>
          <cell r="N38">
            <v>564.30999999999995</v>
          </cell>
          <cell r="O38" t="str">
            <v>Kota Salatiga</v>
          </cell>
          <cell r="P38">
            <v>81.59</v>
          </cell>
        </row>
        <row r="39">
          <cell r="M39" t="str">
            <v>Kab. Kudus</v>
          </cell>
          <cell r="N39">
            <v>238.39</v>
          </cell>
          <cell r="O39" t="str">
            <v>Kab. Kudus</v>
          </cell>
          <cell r="P39">
            <v>56.2</v>
          </cell>
        </row>
        <row r="40">
          <cell r="M40" t="str">
            <v>Kota Salatiga</v>
          </cell>
          <cell r="N40">
            <v>192.14</v>
          </cell>
          <cell r="O40" t="str">
            <v>Kab. Blora</v>
          </cell>
          <cell r="P40">
            <v>39.56</v>
          </cell>
        </row>
        <row r="41">
          <cell r="M41" t="str">
            <v>Kota Semarang</v>
          </cell>
          <cell r="N41">
            <v>183.33</v>
          </cell>
          <cell r="O41" t="str">
            <v>Kota Semarang</v>
          </cell>
          <cell r="P41">
            <v>0.5</v>
          </cell>
        </row>
        <row r="65">
          <cell r="B65" t="str">
            <v>2024</v>
          </cell>
          <cell r="C65">
            <v>139079.08999999994</v>
          </cell>
        </row>
        <row r="66">
          <cell r="B66" t="str">
            <v>2023</v>
          </cell>
          <cell r="C66">
            <v>152501.03999999998</v>
          </cell>
        </row>
        <row r="67">
          <cell r="B67" t="str">
            <v>2022</v>
          </cell>
          <cell r="C67">
            <v>159305.76999999996</v>
          </cell>
        </row>
        <row r="68">
          <cell r="B68" t="str">
            <v>2021</v>
          </cell>
          <cell r="C68">
            <v>170688.30000000002</v>
          </cell>
        </row>
        <row r="69">
          <cell r="B69" t="str">
            <v>2020</v>
          </cell>
          <cell r="C69">
            <v>174040.64344110002</v>
          </cell>
        </row>
        <row r="70">
          <cell r="B70" t="str">
            <v>2019</v>
          </cell>
          <cell r="C70">
            <v>168716.63866382785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XzmW8/1/" TargetMode="External"/><Relationship Id="rId1" Type="http://schemas.openxmlformats.org/officeDocument/2006/relationships/hyperlink" Target="https://datawrapper.dwcdn.net/KiVE8/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A31C9-7FFA-4739-8679-42644569B488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customWidth="1"/>
    <col min="2" max="2" width="18.140625" customWidth="1"/>
    <col min="3" max="3" width="14.140625" customWidth="1"/>
    <col min="4" max="4" width="15.28515625" customWidth="1"/>
    <col min="5" max="5" width="14.140625" customWidth="1"/>
    <col min="6" max="6" width="16.42578125" customWidth="1"/>
    <col min="7" max="7" width="15.140625" customWidth="1"/>
    <col min="8" max="8" width="13.85546875" customWidth="1"/>
    <col min="9" max="9" width="16.140625" customWidth="1"/>
    <col min="10" max="10" width="11.7109375" customWidth="1"/>
    <col min="11" max="11" width="9.85546875" customWidth="1"/>
    <col min="12" max="12" width="8.140625" customWidth="1"/>
    <col min="13" max="13" width="19.5703125" customWidth="1"/>
    <col min="14" max="14" width="15.42578125" customWidth="1"/>
    <col min="15" max="15" width="19.5703125" customWidth="1"/>
    <col min="16" max="16" width="12.42578125" customWidth="1"/>
    <col min="17" max="17" width="13.42578125" customWidth="1"/>
    <col min="18" max="18" width="12.140625" customWidth="1"/>
    <col min="19" max="19" width="9.140625" customWidth="1"/>
    <col min="20" max="20" width="12.42578125" customWidth="1"/>
    <col min="21" max="25" width="9.140625" customWidth="1"/>
    <col min="26" max="26" width="19.5703125" customWidth="1"/>
    <col min="27" max="27" width="15" customWidth="1"/>
  </cols>
  <sheetData>
    <row r="1" spans="1:27" ht="17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3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2</v>
      </c>
    </row>
    <row r="2" spans="1:27" ht="17.2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7.2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6"/>
      <c r="B5" s="7"/>
      <c r="C5" s="7"/>
      <c r="D5" s="7"/>
      <c r="E5" s="7"/>
      <c r="F5" s="7"/>
      <c r="G5" s="7"/>
      <c r="H5" s="7"/>
      <c r="I5" s="7"/>
      <c r="J5" s="7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8" t="s">
        <v>5</v>
      </c>
      <c r="B6" s="8" t="s">
        <v>6</v>
      </c>
      <c r="C6" s="9" t="s">
        <v>7</v>
      </c>
      <c r="D6" s="10"/>
      <c r="E6" s="10"/>
      <c r="F6" s="11"/>
      <c r="G6" s="12" t="s">
        <v>8</v>
      </c>
      <c r="H6" s="11"/>
      <c r="I6" s="13" t="s">
        <v>9</v>
      </c>
      <c r="J6" s="14" t="s">
        <v>10</v>
      </c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5"/>
      <c r="B7" s="15"/>
      <c r="C7" s="16"/>
      <c r="D7" s="7"/>
      <c r="E7" s="7"/>
      <c r="F7" s="17"/>
      <c r="G7" s="16"/>
      <c r="H7" s="17"/>
      <c r="I7" s="15"/>
      <c r="J7" s="15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5"/>
      <c r="B8" s="15"/>
      <c r="C8" s="8" t="s">
        <v>11</v>
      </c>
      <c r="D8" s="8" t="s">
        <v>12</v>
      </c>
      <c r="E8" s="8" t="s">
        <v>13</v>
      </c>
      <c r="F8" s="8" t="s">
        <v>14</v>
      </c>
      <c r="G8" s="18" t="s">
        <v>15</v>
      </c>
      <c r="H8" s="13" t="s">
        <v>16</v>
      </c>
      <c r="I8" s="15"/>
      <c r="J8" s="15"/>
      <c r="K8" s="3"/>
      <c r="L8" s="3"/>
      <c r="M8" s="19" t="s">
        <v>17</v>
      </c>
      <c r="N8" s="2"/>
      <c r="O8" s="19" t="s">
        <v>18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0"/>
      <c r="B9" s="15"/>
      <c r="C9" s="20"/>
      <c r="D9" s="20"/>
      <c r="E9" s="20"/>
      <c r="F9" s="20"/>
      <c r="G9" s="15"/>
      <c r="H9" s="20"/>
      <c r="I9" s="20"/>
      <c r="J9" s="15"/>
      <c r="K9" s="3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1">
        <v>1</v>
      </c>
      <c r="B10" s="22">
        <v>2</v>
      </c>
      <c r="C10" s="23">
        <v>4</v>
      </c>
      <c r="D10" s="23">
        <v>5</v>
      </c>
      <c r="E10" s="23">
        <v>6</v>
      </c>
      <c r="F10" s="24">
        <v>3</v>
      </c>
      <c r="G10" s="25">
        <v>7</v>
      </c>
      <c r="H10" s="26">
        <v>8</v>
      </c>
      <c r="I10" s="27">
        <v>9</v>
      </c>
      <c r="J10" s="28">
        <v>10</v>
      </c>
      <c r="K10" s="3"/>
      <c r="L10" s="3"/>
      <c r="M10" s="4" t="s">
        <v>19</v>
      </c>
      <c r="N10" s="4" t="s">
        <v>20</v>
      </c>
      <c r="O10" s="4" t="s">
        <v>19</v>
      </c>
      <c r="P10" s="4" t="s">
        <v>21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17.25" customHeight="1">
      <c r="A11" s="29">
        <v>1</v>
      </c>
      <c r="B11" s="30" t="s">
        <v>22</v>
      </c>
      <c r="C11" s="31">
        <f>'[1]K. Dalam'!C11+'[1]K. Genjah'!C11+'[1]K. Hibrida'!C11</f>
        <v>6994.7</v>
      </c>
      <c r="D11" s="31">
        <f>'[1]K. Dalam'!D11+'[1]K. Genjah'!D11+'[1]K. Hibrida'!D11</f>
        <v>13072.56</v>
      </c>
      <c r="E11" s="31">
        <f>'[1]K. Dalam'!E11+'[1]K. Genjah'!E11+'[1]K. Hibrida'!E11</f>
        <v>4030.96</v>
      </c>
      <c r="F11" s="32">
        <f t="shared" ref="F11:F42" si="0">SUM(C11:E11)</f>
        <v>24098.219999999998</v>
      </c>
      <c r="G11" s="33">
        <f>'[1]K. Dalam'!G11+'[1]K. Genjah'!G11+'[1]K. Hibrida'!G11</f>
        <v>12999.11</v>
      </c>
      <c r="H11" s="34">
        <f t="shared" ref="H11:H39" si="1">G11*1000/D11</f>
        <v>994.3813606516245</v>
      </c>
      <c r="I11" s="33">
        <f>'[1]K. Dalam'!I11+'[1]K. Genjah'!I11+'[1]K. Hibrida'!I11</f>
        <v>69901</v>
      </c>
      <c r="J11" s="35">
        <f t="shared" ref="J11:J43" si="2">IF(I11=0,0,F11/I11)</f>
        <v>0.34474785768443938</v>
      </c>
      <c r="K11" s="36" t="s">
        <v>23</v>
      </c>
      <c r="L11" s="36" t="s">
        <v>24</v>
      </c>
      <c r="M11" s="30" t="str">
        <f ca="1">IFERROR(__xludf.DUMMYFUNCTION("QUERY($B$11:$H$42,""select B where F&lt;&gt;0 Order By F desc"")"),"Kab. Kebumen")</f>
        <v>Kab. Kebumen</v>
      </c>
      <c r="N11" s="37">
        <f ca="1">IFERROR(__xludf.DUMMYFUNCTION("QUERY($B$11:$H$42,""select F where F&lt;&gt;0 Order By F desc"")"),28475.42)</f>
        <v>28475.42</v>
      </c>
      <c r="O11" s="30" t="str">
        <f ca="1">IFERROR(__xludf.DUMMYFUNCTION("QUERY($B$11:$H$42,""select B where G&lt;&gt;0 Order By G desc"")"),"Kab. Purworejo")</f>
        <v>Kab. Purworejo</v>
      </c>
      <c r="P11" s="37">
        <f ca="1">IFERROR(__xludf.DUMMYFUNCTION("QUERY($B$11:$H$42,""select G where G&lt;&gt;0 Order By G desc"")"),21209.55)</f>
        <v>21209.55</v>
      </c>
      <c r="Q11" s="38"/>
      <c r="R11" s="4"/>
      <c r="S11" s="4"/>
      <c r="T11" s="38"/>
      <c r="U11" s="4"/>
      <c r="V11" s="4"/>
      <c r="W11" s="39"/>
      <c r="X11" s="40"/>
      <c r="Y11" s="4"/>
      <c r="Z11" s="41"/>
      <c r="AA11" s="41"/>
    </row>
    <row r="12" spans="1:27" ht="17.25" customHeight="1">
      <c r="A12" s="42">
        <v>2</v>
      </c>
      <c r="B12" s="43" t="s">
        <v>25</v>
      </c>
      <c r="C12" s="44">
        <f>'[1]K. Dalam'!C12+'[1]K. Genjah'!C12+'[1]K. Hibrida'!C12</f>
        <v>2009.6</v>
      </c>
      <c r="D12" s="44">
        <f>'[1]K. Dalam'!D12+'[1]K. Genjah'!D12+'[1]K. Hibrida'!D12</f>
        <v>10224.99</v>
      </c>
      <c r="E12" s="44">
        <f>'[1]K. Dalam'!E12+'[1]K. Genjah'!E12+'[1]K. Hibrida'!E12</f>
        <v>192.69</v>
      </c>
      <c r="F12" s="44">
        <f t="shared" si="0"/>
        <v>12427.28</v>
      </c>
      <c r="G12" s="45">
        <f>'[1]K. Dalam'!G12+'[1]K. Genjah'!G12+'[1]K. Hibrida'!G12</f>
        <v>15373.12</v>
      </c>
      <c r="H12" s="46">
        <f t="shared" si="1"/>
        <v>1503.4850889829722</v>
      </c>
      <c r="I12" s="46">
        <f>'[1]K. Dalam'!I12+'[1]K. Genjah'!I12+'[1]K. Hibrida'!I12</f>
        <v>65280</v>
      </c>
      <c r="J12" s="47">
        <f t="shared" si="2"/>
        <v>0.19036887254901963</v>
      </c>
      <c r="K12" s="36"/>
      <c r="L12" s="36"/>
      <c r="M12" s="43" t="str">
        <f ca="1">IFERROR(__xludf.DUMMYFUNCTION("""COMPUTED_VALUE"""),"Kab. Cilacap")</f>
        <v>Kab. Cilacap</v>
      </c>
      <c r="N12" s="48">
        <f ca="1">IFERROR(__xludf.DUMMYFUNCTION("""COMPUTED_VALUE"""),24098.2199999999)</f>
        <v>24098.219999999899</v>
      </c>
      <c r="O12" s="43" t="str">
        <f ca="1">IFERROR(__xludf.DUMMYFUNCTION("""COMPUTED_VALUE"""),"Kab. Kebumen")</f>
        <v>Kab. Kebumen</v>
      </c>
      <c r="P12" s="48">
        <f ca="1">IFERROR(__xludf.DUMMYFUNCTION("""COMPUTED_VALUE"""),18458.9499999999)</f>
        <v>18458.949999999899</v>
      </c>
      <c r="Q12" s="38"/>
      <c r="R12" s="41"/>
      <c r="S12" s="41"/>
      <c r="T12" s="49"/>
      <c r="U12" s="41"/>
      <c r="V12" s="41"/>
      <c r="W12" s="39"/>
      <c r="X12" s="50"/>
      <c r="Y12" s="41"/>
      <c r="Z12" s="4"/>
      <c r="AA12" s="4"/>
    </row>
    <row r="13" spans="1:27" ht="17.25" customHeight="1">
      <c r="A13" s="42">
        <v>3</v>
      </c>
      <c r="B13" s="43" t="s">
        <v>26</v>
      </c>
      <c r="C13" s="44">
        <f>'[1]K. Dalam'!C13+'[1]K. Genjah'!C13+'[1]K. Hibrida'!C13</f>
        <v>1370.71</v>
      </c>
      <c r="D13" s="44">
        <f>'[1]K. Dalam'!D13+'[1]K. Genjah'!D13+'[1]K. Hibrida'!D13</f>
        <v>11450.67</v>
      </c>
      <c r="E13" s="44">
        <f>'[1]K. Dalam'!E13+'[1]K. Genjah'!E13+'[1]K. Hibrida'!E13</f>
        <v>366.92</v>
      </c>
      <c r="F13" s="44">
        <f t="shared" si="0"/>
        <v>13188.300000000001</v>
      </c>
      <c r="G13" s="45">
        <f>'[1]K. Dalam'!G13+'[1]K. Genjah'!G13+'[1]K. Hibrida'!G13</f>
        <v>11748.85</v>
      </c>
      <c r="H13" s="46">
        <f t="shared" si="1"/>
        <v>1026.0403976361208</v>
      </c>
      <c r="I13" s="46">
        <f>'[1]K. Dalam'!I13+'[1]K. Genjah'!I13+'[1]K. Hibrida'!I13</f>
        <v>66931</v>
      </c>
      <c r="J13" s="47">
        <f t="shared" si="2"/>
        <v>0.19704322361835325</v>
      </c>
      <c r="K13" s="36"/>
      <c r="L13" s="36"/>
      <c r="M13" s="43" t="str">
        <f ca="1">IFERROR(__xludf.DUMMYFUNCTION("""COMPUTED_VALUE"""),"Kab. Purworejo")</f>
        <v>Kab. Purworejo</v>
      </c>
      <c r="N13" s="48">
        <f ca="1">IFERROR(__xludf.DUMMYFUNCTION("""COMPUTED_VALUE"""),23354.3)</f>
        <v>23354.3</v>
      </c>
      <c r="O13" s="43" t="str">
        <f ca="1">IFERROR(__xludf.DUMMYFUNCTION("""COMPUTED_VALUE"""),"Kab. Banyumas")</f>
        <v>Kab. Banyumas</v>
      </c>
      <c r="P13" s="48">
        <f ca="1">IFERROR(__xludf.DUMMYFUNCTION("""COMPUTED_VALUE"""),15373.12)</f>
        <v>15373.12</v>
      </c>
      <c r="Q13" s="38"/>
      <c r="R13" s="4"/>
      <c r="S13" s="4"/>
      <c r="T13" s="38"/>
      <c r="U13" s="4"/>
      <c r="V13" s="51"/>
      <c r="W13" s="40"/>
      <c r="X13" s="40"/>
      <c r="Y13" s="4"/>
      <c r="Z13" s="4"/>
      <c r="AA13" s="4"/>
    </row>
    <row r="14" spans="1:27" ht="17.25" customHeight="1">
      <c r="A14" s="42">
        <v>4</v>
      </c>
      <c r="B14" s="43" t="s">
        <v>27</v>
      </c>
      <c r="C14" s="44">
        <f>'[1]K. Dalam'!C14+'[1]K. Genjah'!C14+'[1]K. Hibrida'!C14</f>
        <v>2160.71</v>
      </c>
      <c r="D14" s="44">
        <f>'[1]K. Dalam'!D14+'[1]K. Genjah'!D14+'[1]K. Hibrida'!D14</f>
        <v>9929.0300000000007</v>
      </c>
      <c r="E14" s="44">
        <f>'[1]K. Dalam'!E14+'[1]K. Genjah'!E14+'[1]K. Hibrida'!E14</f>
        <v>395.73</v>
      </c>
      <c r="F14" s="44">
        <f t="shared" si="0"/>
        <v>12485.470000000001</v>
      </c>
      <c r="G14" s="45">
        <f>'[1]K. Dalam'!G14+'[1]K. Genjah'!G14+'[1]K. Hibrida'!G14</f>
        <v>9250.9299999999985</v>
      </c>
      <c r="H14" s="46">
        <f t="shared" si="1"/>
        <v>931.7053126035471</v>
      </c>
      <c r="I14" s="46">
        <f>'[1]K. Dalam'!I14+'[1]K. Genjah'!I14+'[1]K. Hibrida'!I14</f>
        <v>44793</v>
      </c>
      <c r="J14" s="47">
        <f t="shared" si="2"/>
        <v>0.27873707945437903</v>
      </c>
      <c r="K14" s="36" t="s">
        <v>28</v>
      </c>
      <c r="L14" s="36" t="s">
        <v>29</v>
      </c>
      <c r="M14" s="43" t="str">
        <f ca="1">IFERROR(__xludf.DUMMYFUNCTION("""COMPUTED_VALUE"""),"Kab. Wonogiri")</f>
        <v>Kab. Wonogiri</v>
      </c>
      <c r="N14" s="48">
        <f ca="1">IFERROR(__xludf.DUMMYFUNCTION("""COMPUTED_VALUE"""),16106)</f>
        <v>16106</v>
      </c>
      <c r="O14" s="43" t="str">
        <f ca="1">IFERROR(__xludf.DUMMYFUNCTION("""COMPUTED_VALUE"""),"Kab. Cilacap")</f>
        <v>Kab. Cilacap</v>
      </c>
      <c r="P14" s="48">
        <f ca="1">IFERROR(__xludf.DUMMYFUNCTION("""COMPUTED_VALUE"""),12999.11)</f>
        <v>12999.11</v>
      </c>
      <c r="Q14" s="38"/>
      <c r="R14" s="4"/>
      <c r="S14" s="4"/>
      <c r="T14" s="38"/>
      <c r="U14" s="4"/>
      <c r="V14" s="4"/>
      <c r="W14" s="51"/>
      <c r="X14" s="40"/>
      <c r="Y14" s="4"/>
      <c r="Z14" s="52"/>
      <c r="AA14" s="4"/>
    </row>
    <row r="15" spans="1:27" ht="17.25" customHeight="1">
      <c r="A15" s="42">
        <v>5</v>
      </c>
      <c r="B15" s="43" t="s">
        <v>30</v>
      </c>
      <c r="C15" s="44">
        <f>'[1]K. Dalam'!C15+'[1]K. Genjah'!C15+'[1]K. Hibrida'!C15</f>
        <v>8659.92</v>
      </c>
      <c r="D15" s="44">
        <f>'[1]K. Dalam'!D15+'[1]K. Genjah'!D15+'[1]K. Hibrida'!D15</f>
        <v>19151.600000000002</v>
      </c>
      <c r="E15" s="44">
        <f>'[1]K. Dalam'!E15+'[1]K. Genjah'!E15+'[1]K. Hibrida'!E15</f>
        <v>663.9</v>
      </c>
      <c r="F15" s="44">
        <f t="shared" si="0"/>
        <v>28475.420000000006</v>
      </c>
      <c r="G15" s="45">
        <f>'[1]K. Dalam'!G15+'[1]K. Genjah'!G15+'[1]K. Hibrida'!G15</f>
        <v>18458.949999999997</v>
      </c>
      <c r="H15" s="46">
        <f t="shared" si="1"/>
        <v>963.83330896635232</v>
      </c>
      <c r="I15" s="46">
        <f>'[1]K. Dalam'!I15+'[1]K. Genjah'!I15+'[1]K. Hibrida'!I15</f>
        <v>105572</v>
      </c>
      <c r="J15" s="47">
        <f t="shared" si="2"/>
        <v>0.26972511650816511</v>
      </c>
      <c r="K15" s="36" t="s">
        <v>31</v>
      </c>
      <c r="L15" s="36" t="s">
        <v>32</v>
      </c>
      <c r="M15" s="43" t="str">
        <f ca="1">IFERROR(__xludf.DUMMYFUNCTION("""COMPUTED_VALUE"""),"Kab. Purbalingga")</f>
        <v>Kab. Purbalingga</v>
      </c>
      <c r="N15" s="48">
        <f ca="1">IFERROR(__xludf.DUMMYFUNCTION("""COMPUTED_VALUE"""),13188.3)</f>
        <v>13188.3</v>
      </c>
      <c r="O15" s="43" t="str">
        <f ca="1">IFERROR(__xludf.DUMMYFUNCTION("""COMPUTED_VALUE"""),"Kab. Purbalingga")</f>
        <v>Kab. Purbalingga</v>
      </c>
      <c r="P15" s="48">
        <f ca="1">IFERROR(__xludf.DUMMYFUNCTION("""COMPUTED_VALUE"""),11748.85)</f>
        <v>11748.85</v>
      </c>
      <c r="Q15" s="38"/>
      <c r="R15" s="41"/>
      <c r="S15" s="41"/>
      <c r="T15" s="49"/>
      <c r="U15" s="41"/>
      <c r="V15" s="41"/>
      <c r="W15" s="39"/>
      <c r="X15" s="50"/>
      <c r="Y15" s="41"/>
      <c r="Z15" s="4"/>
      <c r="AA15" s="4"/>
    </row>
    <row r="16" spans="1:27" ht="17.25" customHeight="1">
      <c r="A16" s="42">
        <v>6</v>
      </c>
      <c r="B16" s="43" t="s">
        <v>33</v>
      </c>
      <c r="C16" s="44">
        <f>'[1]K. Dalam'!C16+'[1]K. Genjah'!C16+'[1]K. Hibrida'!C16</f>
        <v>4385.46</v>
      </c>
      <c r="D16" s="44">
        <f>'[1]K. Dalam'!D16+'[1]K. Genjah'!D16+'[1]K. Hibrida'!D16</f>
        <v>18498.849999999999</v>
      </c>
      <c r="E16" s="44">
        <f>'[1]K. Dalam'!E16+'[1]K. Genjah'!E16+'[1]K. Hibrida'!E16</f>
        <v>469.99</v>
      </c>
      <c r="F16" s="44">
        <f t="shared" si="0"/>
        <v>23354.3</v>
      </c>
      <c r="G16" s="45">
        <f>'[1]K. Dalam'!G16+'[1]K. Genjah'!G16+'[1]K. Hibrida'!G16</f>
        <v>21209.55</v>
      </c>
      <c r="H16" s="46">
        <f t="shared" si="1"/>
        <v>1146.5334331593585</v>
      </c>
      <c r="I16" s="46">
        <f>'[1]K. Dalam'!I16+'[1]K. Genjah'!I16+'[1]K. Hibrida'!I16</f>
        <v>66272</v>
      </c>
      <c r="J16" s="47">
        <f t="shared" si="2"/>
        <v>0.35240071221632063</v>
      </c>
      <c r="K16" s="36"/>
      <c r="L16" s="36"/>
      <c r="M16" s="43" t="str">
        <f ca="1">IFERROR(__xludf.DUMMYFUNCTION("""COMPUTED_VALUE"""),"Kab. Banjarnegara")</f>
        <v>Kab. Banjarnegara</v>
      </c>
      <c r="N16" s="48">
        <f ca="1">IFERROR(__xludf.DUMMYFUNCTION("""COMPUTED_VALUE"""),12485.47)</f>
        <v>12485.47</v>
      </c>
      <c r="O16" s="43" t="str">
        <f ca="1">IFERROR(__xludf.DUMMYFUNCTION("""COMPUTED_VALUE"""),"Kab. Banjarnegara")</f>
        <v>Kab. Banjarnegara</v>
      </c>
      <c r="P16" s="48">
        <f ca="1">IFERROR(__xludf.DUMMYFUNCTION("""COMPUTED_VALUE"""),9250.92999999999)</f>
        <v>9250.9299999999894</v>
      </c>
      <c r="Q16" s="38"/>
      <c r="R16" s="4"/>
      <c r="S16" s="4"/>
      <c r="T16" s="38"/>
      <c r="U16" s="4"/>
      <c r="V16" s="4"/>
      <c r="W16" s="39"/>
      <c r="X16" s="40"/>
      <c r="Y16" s="4"/>
      <c r="Z16" s="41"/>
      <c r="AA16" s="41"/>
    </row>
    <row r="17" spans="1:27" ht="17.25" customHeight="1">
      <c r="A17" s="42">
        <v>7</v>
      </c>
      <c r="B17" s="43" t="s">
        <v>34</v>
      </c>
      <c r="C17" s="44">
        <f>'[1]K. Dalam'!C17+'[1]K. Genjah'!C17+'[1]K. Hibrida'!C17</f>
        <v>233.12</v>
      </c>
      <c r="D17" s="44">
        <f>'[1]K. Dalam'!D17+'[1]K. Genjah'!D17+'[1]K. Hibrida'!D17</f>
        <v>3928.67</v>
      </c>
      <c r="E17" s="44">
        <f>'[1]K. Dalam'!E17+'[1]K. Genjah'!E17+'[1]K. Hibrida'!E17</f>
        <v>504.75</v>
      </c>
      <c r="F17" s="44">
        <f t="shared" si="0"/>
        <v>4666.54</v>
      </c>
      <c r="G17" s="45">
        <f>'[1]K. Dalam'!G17+'[1]K. Genjah'!G17+'[1]K. Hibrida'!G17</f>
        <v>2211</v>
      </c>
      <c r="H17" s="46">
        <f t="shared" si="1"/>
        <v>562.78587919066752</v>
      </c>
      <c r="I17" s="46">
        <f>'[1]K. Dalam'!I17+'[1]K. Genjah'!I17+'[1]K. Hibrida'!I17</f>
        <v>19059</v>
      </c>
      <c r="J17" s="47">
        <f t="shared" si="2"/>
        <v>0.24484705388530353</v>
      </c>
      <c r="K17" s="36"/>
      <c r="L17" s="36"/>
      <c r="M17" s="43" t="str">
        <f ca="1">IFERROR(__xludf.DUMMYFUNCTION("""COMPUTED_VALUE"""),"Kab. Banyumas")</f>
        <v>Kab. Banyumas</v>
      </c>
      <c r="N17" s="48">
        <f ca="1">IFERROR(__xludf.DUMMYFUNCTION("""COMPUTED_VALUE"""),12427.28)</f>
        <v>12427.28</v>
      </c>
      <c r="O17" s="43" t="str">
        <f ca="1">IFERROR(__xludf.DUMMYFUNCTION("""COMPUTED_VALUE"""),"Kab. Jepara")</f>
        <v>Kab. Jepara</v>
      </c>
      <c r="P17" s="48">
        <f ca="1">IFERROR(__xludf.DUMMYFUNCTION("""COMPUTED_VALUE"""),8259.01)</f>
        <v>8259.01</v>
      </c>
      <c r="Q17" s="38"/>
      <c r="R17" s="41"/>
      <c r="S17" s="41"/>
      <c r="T17" s="49"/>
      <c r="U17" s="41"/>
      <c r="V17" s="53"/>
      <c r="W17" s="54"/>
      <c r="X17" s="50"/>
      <c r="Y17" s="41"/>
      <c r="Z17" s="41"/>
      <c r="AA17" s="41"/>
    </row>
    <row r="18" spans="1:27" ht="17.25" customHeight="1">
      <c r="A18" s="42">
        <v>8</v>
      </c>
      <c r="B18" s="43" t="s">
        <v>35</v>
      </c>
      <c r="C18" s="44">
        <f>'[1]K. Dalam'!C18+'[1]K. Genjah'!C18+'[1]K. Hibrida'!C18</f>
        <v>1510.8</v>
      </c>
      <c r="D18" s="44">
        <f>'[1]K. Dalam'!D18+'[1]K. Genjah'!D18+'[1]K. Hibrida'!D18</f>
        <v>4371.5</v>
      </c>
      <c r="E18" s="44">
        <f>'[1]K. Dalam'!E18+'[1]K. Genjah'!E18+'[1]K. Hibrida'!E18</f>
        <v>128.5</v>
      </c>
      <c r="F18" s="44">
        <f t="shared" si="0"/>
        <v>6010.8</v>
      </c>
      <c r="G18" s="45">
        <f>'[1]K. Dalam'!G18+'[1]K. Genjah'!G18+'[1]K. Hibrida'!G18</f>
        <v>5994.9900000000007</v>
      </c>
      <c r="H18" s="46">
        <f t="shared" si="1"/>
        <v>1371.380532997827</v>
      </c>
      <c r="I18" s="46">
        <f>'[1]K. Dalam'!I18+'[1]K. Genjah'!I18+'[1]K. Hibrida'!I18</f>
        <v>45427</v>
      </c>
      <c r="J18" s="47">
        <f t="shared" si="2"/>
        <v>0.13231778457745394</v>
      </c>
      <c r="K18" s="36" t="s">
        <v>36</v>
      </c>
      <c r="L18" s="36" t="s">
        <v>37</v>
      </c>
      <c r="M18" s="43" t="str">
        <f ca="1">IFERROR(__xludf.DUMMYFUNCTION("""COMPUTED_VALUE"""),"Kab. Jepara")</f>
        <v>Kab. Jepara</v>
      </c>
      <c r="N18" s="48">
        <f ca="1">IFERROR(__xludf.DUMMYFUNCTION("""COMPUTED_VALUE"""),11614.23)</f>
        <v>11614.23</v>
      </c>
      <c r="O18" s="43" t="str">
        <f ca="1">IFERROR(__xludf.DUMMYFUNCTION("""COMPUTED_VALUE"""),"Kab. Wonogiri")</f>
        <v>Kab. Wonogiri</v>
      </c>
      <c r="P18" s="48">
        <f ca="1">IFERROR(__xludf.DUMMYFUNCTION("""COMPUTED_VALUE"""),6091.62)</f>
        <v>6091.62</v>
      </c>
      <c r="Q18" s="38"/>
      <c r="R18" s="4"/>
      <c r="S18" s="4"/>
      <c r="T18" s="38"/>
      <c r="U18" s="4"/>
      <c r="V18" s="4"/>
      <c r="W18" s="51"/>
      <c r="X18" s="40"/>
      <c r="Y18" s="4"/>
      <c r="Z18" s="4"/>
      <c r="AA18" s="4"/>
    </row>
    <row r="19" spans="1:27" ht="17.25" customHeight="1">
      <c r="A19" s="42">
        <v>9</v>
      </c>
      <c r="B19" s="43" t="s">
        <v>38</v>
      </c>
      <c r="C19" s="44">
        <f>'[1]K. Dalam'!C19+'[1]K. Genjah'!C19+'[1]K. Hibrida'!C19</f>
        <v>1318.6399999999999</v>
      </c>
      <c r="D19" s="44">
        <f>'[1]K. Dalam'!D19+'[1]K. Genjah'!D19+'[1]K. Hibrida'!D19</f>
        <v>2102.58</v>
      </c>
      <c r="E19" s="44">
        <f>'[1]K. Dalam'!E19+'[1]K. Genjah'!E19+'[1]K. Hibrida'!E19</f>
        <v>299.06</v>
      </c>
      <c r="F19" s="44">
        <f t="shared" si="0"/>
        <v>3720.2799999999997</v>
      </c>
      <c r="G19" s="45">
        <f>'[1]K. Dalam'!G19+'[1]K. Genjah'!G19+'[1]K. Hibrida'!G19</f>
        <v>2110.1</v>
      </c>
      <c r="H19" s="46">
        <f t="shared" si="1"/>
        <v>1003.5765583235834</v>
      </c>
      <c r="I19" s="46">
        <f>'[1]K. Dalam'!I19+'[1]K. Genjah'!I19+'[1]K. Hibrida'!I19</f>
        <v>35665</v>
      </c>
      <c r="J19" s="47">
        <f t="shared" si="2"/>
        <v>0.10431179027057338</v>
      </c>
      <c r="K19" s="36" t="s">
        <v>39</v>
      </c>
      <c r="L19" s="36" t="s">
        <v>40</v>
      </c>
      <c r="M19" s="43" t="str">
        <f ca="1">IFERROR(__xludf.DUMMYFUNCTION("""COMPUTED_VALUE"""),"Kab. Magelang")</f>
        <v>Kab. Magelang</v>
      </c>
      <c r="N19" s="48">
        <f ca="1">IFERROR(__xludf.DUMMYFUNCTION("""COMPUTED_VALUE"""),6010.8)</f>
        <v>6010.8</v>
      </c>
      <c r="O19" s="43" t="str">
        <f ca="1">IFERROR(__xludf.DUMMYFUNCTION("""COMPUTED_VALUE"""),"Kab. Magelang")</f>
        <v>Kab. Magelang</v>
      </c>
      <c r="P19" s="48">
        <f ca="1">IFERROR(__xludf.DUMMYFUNCTION("""COMPUTED_VALUE"""),5994.99)</f>
        <v>5994.99</v>
      </c>
      <c r="Q19" s="38"/>
      <c r="R19" s="41"/>
      <c r="S19" s="41"/>
      <c r="T19" s="49"/>
      <c r="U19" s="41"/>
      <c r="V19" s="41"/>
      <c r="W19" s="39"/>
      <c r="X19" s="50"/>
      <c r="Y19" s="41"/>
      <c r="Z19" s="4"/>
      <c r="AA19" s="4"/>
    </row>
    <row r="20" spans="1:27" ht="17.25" customHeight="1">
      <c r="A20" s="42">
        <v>10</v>
      </c>
      <c r="B20" s="43" t="s">
        <v>41</v>
      </c>
      <c r="C20" s="44">
        <f>'[1]K. Dalam'!C20+'[1]K. Genjah'!C20+'[1]K. Hibrida'!C20</f>
        <v>1068.03</v>
      </c>
      <c r="D20" s="44">
        <f>'[1]K. Dalam'!D20+'[1]K. Genjah'!D20+'[1]K. Hibrida'!D20</f>
        <v>2904.7799999999997</v>
      </c>
      <c r="E20" s="44">
        <f>'[1]K. Dalam'!E20+'[1]K. Genjah'!E20+'[1]K. Hibrida'!E20</f>
        <v>255.31</v>
      </c>
      <c r="F20" s="44">
        <f t="shared" si="0"/>
        <v>4228.12</v>
      </c>
      <c r="G20" s="45">
        <f>'[1]K. Dalam'!G20+'[1]K. Genjah'!G20+'[1]K. Hibrida'!G20</f>
        <v>3934.32</v>
      </c>
      <c r="H20" s="46">
        <f t="shared" si="1"/>
        <v>1354.4295953566193</v>
      </c>
      <c r="I20" s="46">
        <f>'[1]K. Dalam'!I20+'[1]K. Genjah'!I20+'[1]K. Hibrida'!I20</f>
        <v>21165</v>
      </c>
      <c r="J20" s="47">
        <f t="shared" si="2"/>
        <v>0.19976943066383179</v>
      </c>
      <c r="K20" s="36"/>
      <c r="L20" s="36"/>
      <c r="M20" s="43" t="str">
        <f ca="1">IFERROR(__xludf.DUMMYFUNCTION("""COMPUTED_VALUE"""),"Kab. Rembang")</f>
        <v>Kab. Rembang</v>
      </c>
      <c r="N20" s="48">
        <f ca="1">IFERROR(__xludf.DUMMYFUNCTION("""COMPUTED_VALUE"""),5963)</f>
        <v>5963</v>
      </c>
      <c r="O20" s="43" t="str">
        <f ca="1">IFERROR(__xludf.DUMMYFUNCTION("""COMPUTED_VALUE"""),"Kab. Klaten")</f>
        <v>Kab. Klaten</v>
      </c>
      <c r="P20" s="48">
        <f ca="1">IFERROR(__xludf.DUMMYFUNCTION("""COMPUTED_VALUE"""),3934.32)</f>
        <v>3934.32</v>
      </c>
      <c r="Q20" s="38"/>
      <c r="R20" s="4"/>
      <c r="S20" s="4"/>
      <c r="T20" s="38"/>
      <c r="U20" s="4"/>
      <c r="V20" s="4"/>
      <c r="W20" s="51"/>
      <c r="X20" s="40"/>
      <c r="Y20" s="4"/>
      <c r="Z20" s="41"/>
      <c r="AA20" s="41"/>
    </row>
    <row r="21" spans="1:27" ht="17.25" customHeight="1">
      <c r="A21" s="42">
        <v>11</v>
      </c>
      <c r="B21" s="43" t="s">
        <v>42</v>
      </c>
      <c r="C21" s="44">
        <f>'[1]K. Dalam'!C21+'[1]K. Genjah'!C21+'[1]K. Hibrida'!C21</f>
        <v>1337.38</v>
      </c>
      <c r="D21" s="44">
        <f>'[1]K. Dalam'!D21+'[1]K. Genjah'!D21+'[1]K. Hibrida'!D21</f>
        <v>890.82</v>
      </c>
      <c r="E21" s="44">
        <f>'[1]K. Dalam'!E21+'[1]K. Genjah'!E21+'[1]K. Hibrida'!E21</f>
        <v>66.25</v>
      </c>
      <c r="F21" s="44">
        <f t="shared" si="0"/>
        <v>2294.4500000000003</v>
      </c>
      <c r="G21" s="45">
        <f>'[1]K. Dalam'!G21+'[1]K. Genjah'!G21+'[1]K. Hibrida'!G21</f>
        <v>597.05999999999995</v>
      </c>
      <c r="H21" s="46">
        <f t="shared" si="1"/>
        <v>670.23641139624158</v>
      </c>
      <c r="I21" s="46">
        <f>'[1]K. Dalam'!I21+'[1]K. Genjah'!I21+'[1]K. Hibrida'!I21</f>
        <v>5866</v>
      </c>
      <c r="J21" s="47">
        <f t="shared" si="2"/>
        <v>0.39114387998636213</v>
      </c>
      <c r="K21" s="36"/>
      <c r="L21" s="36"/>
      <c r="M21" s="43" t="str">
        <f ca="1">IFERROR(__xludf.DUMMYFUNCTION("""COMPUTED_VALUE"""),"Kab. Semarang")</f>
        <v>Kab. Semarang</v>
      </c>
      <c r="N21" s="48">
        <f ca="1">IFERROR(__xludf.DUMMYFUNCTION("""COMPUTED_VALUE"""),5461.26999999999)</f>
        <v>5461.2699999999904</v>
      </c>
      <c r="O21" s="43" t="str">
        <f ca="1">IFERROR(__xludf.DUMMYFUNCTION("""COMPUTED_VALUE"""),"Kab. Pekalongan")</f>
        <v>Kab. Pekalongan</v>
      </c>
      <c r="P21" s="48">
        <f ca="1">IFERROR(__xludf.DUMMYFUNCTION("""COMPUTED_VALUE"""),3788.32)</f>
        <v>3788.32</v>
      </c>
      <c r="Q21" s="38"/>
      <c r="R21" s="4"/>
      <c r="S21" s="4"/>
      <c r="T21" s="38"/>
      <c r="U21" s="4"/>
      <c r="V21" s="55"/>
      <c r="W21" s="54"/>
      <c r="X21" s="50"/>
      <c r="Y21" s="4"/>
      <c r="Z21" s="41"/>
      <c r="AA21" s="41"/>
    </row>
    <row r="22" spans="1:27" ht="17.25" customHeight="1">
      <c r="A22" s="42">
        <v>12</v>
      </c>
      <c r="B22" s="43" t="s">
        <v>43</v>
      </c>
      <c r="C22" s="44">
        <f>'[1]K. Dalam'!C22+'[1]K. Genjah'!C22+'[1]K. Hibrida'!C22</f>
        <v>3186</v>
      </c>
      <c r="D22" s="44">
        <f>'[1]K. Dalam'!D22+'[1]K. Genjah'!D22+'[1]K. Hibrida'!D22</f>
        <v>11110</v>
      </c>
      <c r="E22" s="44">
        <f>'[1]K. Dalam'!E22+'[1]K. Genjah'!E22+'[1]K. Hibrida'!E22</f>
        <v>1810</v>
      </c>
      <c r="F22" s="44">
        <f t="shared" si="0"/>
        <v>16106</v>
      </c>
      <c r="G22" s="45">
        <f>'[1]K. Dalam'!G22+'[1]K. Genjah'!G22+'[1]K. Hibrida'!G22</f>
        <v>6091.62</v>
      </c>
      <c r="H22" s="46">
        <f t="shared" si="1"/>
        <v>548.30063006300634</v>
      </c>
      <c r="I22" s="46">
        <f>'[1]K. Dalam'!I22+'[1]K. Genjah'!I22+'[1]K. Hibrida'!I22</f>
        <v>53830</v>
      </c>
      <c r="J22" s="47">
        <f t="shared" si="2"/>
        <v>0.29920118892810699</v>
      </c>
      <c r="K22" s="36"/>
      <c r="L22" s="36"/>
      <c r="M22" s="43" t="str">
        <f ca="1">IFERROR(__xludf.DUMMYFUNCTION("""COMPUTED_VALUE"""),"Kab. Wonosobo")</f>
        <v>Kab. Wonosobo</v>
      </c>
      <c r="N22" s="48">
        <f ca="1">IFERROR(__xludf.DUMMYFUNCTION("""COMPUTED_VALUE"""),4666.54)</f>
        <v>4666.54</v>
      </c>
      <c r="O22" s="43" t="str">
        <f ca="1">IFERROR(__xludf.DUMMYFUNCTION("""COMPUTED_VALUE"""),"Kab. Semarang")</f>
        <v>Kab. Semarang</v>
      </c>
      <c r="P22" s="48">
        <f ca="1">IFERROR(__xludf.DUMMYFUNCTION("""COMPUTED_VALUE"""),3437.25999999999)</f>
        <v>3437.2599999999902</v>
      </c>
      <c r="Q22" s="38"/>
      <c r="R22" s="4"/>
      <c r="S22" s="4"/>
      <c r="T22" s="38"/>
      <c r="U22" s="4"/>
      <c r="V22" s="52"/>
      <c r="W22" s="56"/>
      <c r="X22" s="57"/>
      <c r="Y22" s="58"/>
      <c r="Z22" s="4"/>
      <c r="AA22" s="4"/>
    </row>
    <row r="23" spans="1:27" ht="17.25" customHeight="1">
      <c r="A23" s="42">
        <v>13</v>
      </c>
      <c r="B23" s="43" t="s">
        <v>44</v>
      </c>
      <c r="C23" s="44">
        <f>'[1]K. Dalam'!C23+'[1]K. Genjah'!C23+'[1]K. Hibrida'!C23</f>
        <v>565.64</v>
      </c>
      <c r="D23" s="44">
        <f>'[1]K. Dalam'!D23+'[1]K. Genjah'!D23+'[1]K. Hibrida'!D23</f>
        <v>688.24</v>
      </c>
      <c r="E23" s="44">
        <f>'[1]K. Dalam'!E23+'[1]K. Genjah'!E23+'[1]K. Hibrida'!E23</f>
        <v>117.67</v>
      </c>
      <c r="F23" s="44">
        <f t="shared" si="0"/>
        <v>1371.5500000000002</v>
      </c>
      <c r="G23" s="45">
        <f>'[1]K. Dalam'!G23+'[1]K. Genjah'!G23+'[1]K. Hibrida'!G23</f>
        <v>461.40000000000003</v>
      </c>
      <c r="H23" s="46">
        <f t="shared" si="1"/>
        <v>670.40567243984663</v>
      </c>
      <c r="I23" s="46">
        <f>'[1]K. Dalam'!I23+'[1]K. Genjah'!I23+'[1]K. Hibrida'!I23</f>
        <v>8372</v>
      </c>
      <c r="J23" s="47">
        <f t="shared" si="2"/>
        <v>0.16382584806497852</v>
      </c>
      <c r="K23" s="36"/>
      <c r="L23" s="36"/>
      <c r="M23" s="43" t="str">
        <f ca="1">IFERROR(__xludf.DUMMYFUNCTION("""COMPUTED_VALUE"""),"Kab. Klaten")</f>
        <v>Kab. Klaten</v>
      </c>
      <c r="N23" s="48">
        <f ca="1">IFERROR(__xludf.DUMMYFUNCTION("""COMPUTED_VALUE"""),4228.12)</f>
        <v>4228.12</v>
      </c>
      <c r="O23" s="43" t="str">
        <f ca="1">IFERROR(__xludf.DUMMYFUNCTION("""COMPUTED_VALUE"""),"Kab. Pati")</f>
        <v>Kab. Pati</v>
      </c>
      <c r="P23" s="48">
        <f ca="1">IFERROR(__xludf.DUMMYFUNCTION("""COMPUTED_VALUE"""),3331.17)</f>
        <v>3331.17</v>
      </c>
      <c r="Q23" s="38"/>
      <c r="R23" s="41"/>
      <c r="S23" s="41"/>
      <c r="T23" s="49"/>
      <c r="U23" s="41"/>
      <c r="V23" s="55"/>
      <c r="W23" s="39"/>
      <c r="X23" s="50"/>
      <c r="Y23" s="41"/>
      <c r="Z23" s="41"/>
      <c r="AA23" s="41"/>
    </row>
    <row r="24" spans="1:27" ht="17.25" customHeight="1">
      <c r="A24" s="42">
        <v>14</v>
      </c>
      <c r="B24" s="43" t="s">
        <v>45</v>
      </c>
      <c r="C24" s="44">
        <f>'[1]K. Dalam'!C24+'[1]K. Genjah'!C24+'[1]K. Hibrida'!C24</f>
        <v>174.89</v>
      </c>
      <c r="D24" s="44">
        <f>'[1]K. Dalam'!D24+'[1]K. Genjah'!D24+'[1]K. Hibrida'!D24</f>
        <v>2700.05</v>
      </c>
      <c r="E24" s="44">
        <f>'[1]K. Dalam'!E24+'[1]K. Genjah'!E24+'[1]K. Hibrida'!E24</f>
        <v>713.05000000000007</v>
      </c>
      <c r="F24" s="44">
        <f t="shared" si="0"/>
        <v>3587.9900000000002</v>
      </c>
      <c r="G24" s="45">
        <f>'[1]K. Dalam'!G24+'[1]K. Genjah'!G24+'[1]K. Hibrida'!G24</f>
        <v>1352.62</v>
      </c>
      <c r="H24" s="46">
        <f t="shared" si="1"/>
        <v>500.96109331308674</v>
      </c>
      <c r="I24" s="46">
        <f>'[1]K. Dalam'!I24+'[1]K. Genjah'!I24+'[1]K. Hibrida'!I24</f>
        <v>10823</v>
      </c>
      <c r="J24" s="47">
        <f t="shared" si="2"/>
        <v>0.33151529150882381</v>
      </c>
      <c r="K24" s="36"/>
      <c r="L24" s="36"/>
      <c r="M24" s="43" t="str">
        <f ca="1">IFERROR(__xludf.DUMMYFUNCTION("""COMPUTED_VALUE"""),"Kab. Boyolali")</f>
        <v>Kab. Boyolali</v>
      </c>
      <c r="N24" s="48">
        <f ca="1">IFERROR(__xludf.DUMMYFUNCTION("""COMPUTED_VALUE"""),3720.27999999999)</f>
        <v>3720.2799999999902</v>
      </c>
      <c r="O24" s="43" t="str">
        <f ca="1">IFERROR(__xludf.DUMMYFUNCTION("""COMPUTED_VALUE"""),"Kab. Rembang")</f>
        <v>Kab. Rembang</v>
      </c>
      <c r="P24" s="48">
        <f ca="1">IFERROR(__xludf.DUMMYFUNCTION("""COMPUTED_VALUE"""),3118.47)</f>
        <v>3118.47</v>
      </c>
      <c r="Q24" s="38"/>
      <c r="R24" s="41"/>
      <c r="S24" s="41"/>
      <c r="T24" s="49"/>
      <c r="U24" s="41"/>
      <c r="V24" s="41"/>
      <c r="W24" s="39"/>
      <c r="X24" s="50"/>
      <c r="Y24" s="41"/>
      <c r="Z24" s="41"/>
      <c r="AA24" s="41"/>
    </row>
    <row r="25" spans="1:27" ht="17.25" customHeight="1">
      <c r="A25" s="42">
        <v>15</v>
      </c>
      <c r="B25" s="43" t="s">
        <v>46</v>
      </c>
      <c r="C25" s="44">
        <f>'[1]K. Dalam'!C25+'[1]K. Genjah'!C25+'[1]K. Hibrida'!C25</f>
        <v>579.1</v>
      </c>
      <c r="D25" s="44">
        <f>'[1]K. Dalam'!D25+'[1]K. Genjah'!D25+'[1]K. Hibrida'!D25</f>
        <v>744.8</v>
      </c>
      <c r="E25" s="44">
        <f>'[1]K. Dalam'!E25+'[1]K. Genjah'!E25+'[1]K. Hibrida'!E25</f>
        <v>44.6</v>
      </c>
      <c r="F25" s="44">
        <f t="shared" si="0"/>
        <v>1368.5</v>
      </c>
      <c r="G25" s="45">
        <f>'[1]K. Dalam'!G25+'[1]K. Genjah'!G25+'[1]K. Hibrida'!G25</f>
        <v>242.32</v>
      </c>
      <c r="H25" s="46">
        <f t="shared" si="1"/>
        <v>325.34908700322234</v>
      </c>
      <c r="I25" s="46">
        <f>'[1]K. Dalam'!I25+'[1]K. Genjah'!I25+'[1]K. Hibrida'!I25</f>
        <v>14831</v>
      </c>
      <c r="J25" s="47">
        <f t="shared" si="2"/>
        <v>9.2272941811071402E-2</v>
      </c>
      <c r="K25" s="36"/>
      <c r="L25" s="36"/>
      <c r="M25" s="43" t="str">
        <f ca="1">IFERROR(__xludf.DUMMYFUNCTION("""COMPUTED_VALUE"""),"Kab. Sragen")</f>
        <v>Kab. Sragen</v>
      </c>
      <c r="N25" s="48">
        <f ca="1">IFERROR(__xludf.DUMMYFUNCTION("""COMPUTED_VALUE"""),3587.99)</f>
        <v>3587.99</v>
      </c>
      <c r="O25" s="43" t="str">
        <f ca="1">IFERROR(__xludf.DUMMYFUNCTION("""COMPUTED_VALUE"""),"Kab. Wonosobo")</f>
        <v>Kab. Wonosobo</v>
      </c>
      <c r="P25" s="48">
        <f ca="1">IFERROR(__xludf.DUMMYFUNCTION("""COMPUTED_VALUE"""),2211)</f>
        <v>2211</v>
      </c>
      <c r="Q25" s="38"/>
      <c r="R25" s="4"/>
      <c r="S25" s="40"/>
      <c r="T25" s="38"/>
      <c r="U25" s="4"/>
      <c r="V25" s="52"/>
      <c r="W25" s="56"/>
      <c r="X25" s="57"/>
      <c r="Y25" s="52"/>
      <c r="Z25" s="41"/>
      <c r="AA25" s="41"/>
    </row>
    <row r="26" spans="1:27" ht="17.25" customHeight="1">
      <c r="A26" s="42">
        <v>16</v>
      </c>
      <c r="B26" s="43" t="s">
        <v>47</v>
      </c>
      <c r="C26" s="44">
        <f>'[1]K. Dalam'!C26+'[1]K. Genjah'!C26+'[1]K. Hibrida'!C26</f>
        <v>644.04</v>
      </c>
      <c r="D26" s="44">
        <f>'[1]K. Dalam'!D26+'[1]K. Genjah'!D26+'[1]K. Hibrida'!D26</f>
        <v>425.31</v>
      </c>
      <c r="E26" s="44">
        <f>'[1]K. Dalam'!E26+'[1]K. Genjah'!E26+'[1]K. Hibrida'!E26</f>
        <v>173.7</v>
      </c>
      <c r="F26" s="44">
        <f t="shared" si="0"/>
        <v>1243.05</v>
      </c>
      <c r="G26" s="45">
        <f>'[1]K. Dalam'!G26+'[1]K. Genjah'!G26+'[1]K. Hibrida'!G26</f>
        <v>39.56</v>
      </c>
      <c r="H26" s="46">
        <f t="shared" si="1"/>
        <v>93.014507065434628</v>
      </c>
      <c r="I26" s="46">
        <f>'[1]K. Dalam'!I26+'[1]K. Genjah'!I26+'[1]K. Hibrida'!I26</f>
        <v>13113</v>
      </c>
      <c r="J26" s="47">
        <f t="shared" si="2"/>
        <v>9.4795241363532373E-2</v>
      </c>
      <c r="K26" s="36"/>
      <c r="L26" s="36"/>
      <c r="M26" s="43" t="str">
        <f ca="1">IFERROR(__xludf.DUMMYFUNCTION("""COMPUTED_VALUE"""),"Kab. Pati")</f>
        <v>Kab. Pati</v>
      </c>
      <c r="N26" s="48">
        <f ca="1">IFERROR(__xludf.DUMMYFUNCTION("""COMPUTED_VALUE"""),3405.14)</f>
        <v>3405.14</v>
      </c>
      <c r="O26" s="43" t="str">
        <f ca="1">IFERROR(__xludf.DUMMYFUNCTION("""COMPUTED_VALUE"""),"Kab. Boyolali")</f>
        <v>Kab. Boyolali</v>
      </c>
      <c r="P26" s="48">
        <f ca="1">IFERROR(__xludf.DUMMYFUNCTION("""COMPUTED_VALUE"""),2110.1)</f>
        <v>2110.1</v>
      </c>
      <c r="Q26" s="38"/>
      <c r="R26" s="41"/>
      <c r="S26" s="41"/>
      <c r="T26" s="49"/>
      <c r="U26" s="41"/>
      <c r="V26" s="41"/>
      <c r="W26" s="39"/>
      <c r="X26" s="50"/>
      <c r="Y26" s="41"/>
      <c r="Z26" s="41"/>
      <c r="AA26" s="41"/>
    </row>
    <row r="27" spans="1:27" ht="17.25" customHeight="1">
      <c r="A27" s="42">
        <v>17</v>
      </c>
      <c r="B27" s="43" t="s">
        <v>48</v>
      </c>
      <c r="C27" s="44">
        <f>'[1]K. Dalam'!C27+'[1]K. Genjah'!C27+'[1]K. Hibrida'!C27</f>
        <v>1725</v>
      </c>
      <c r="D27" s="44">
        <f>'[1]K. Dalam'!D27+'[1]K. Genjah'!D27+'[1]K. Hibrida'!D27</f>
        <v>3831</v>
      </c>
      <c r="E27" s="44">
        <f>'[1]K. Dalam'!E27+'[1]K. Genjah'!E27+'[1]K. Hibrida'!E27</f>
        <v>407</v>
      </c>
      <c r="F27" s="44">
        <f t="shared" si="0"/>
        <v>5963</v>
      </c>
      <c r="G27" s="45">
        <f>'[1]K. Dalam'!G27+'[1]K. Genjah'!G27+'[1]K. Hibrida'!G27</f>
        <v>3118.47</v>
      </c>
      <c r="H27" s="46">
        <f t="shared" si="1"/>
        <v>814.0093970242757</v>
      </c>
      <c r="I27" s="46">
        <f>'[1]K. Dalam'!I27+'[1]K. Genjah'!I27+'[1]K. Hibrida'!I27</f>
        <v>13906</v>
      </c>
      <c r="J27" s="47">
        <f t="shared" si="2"/>
        <v>0.42880770890263198</v>
      </c>
      <c r="K27" s="36"/>
      <c r="L27" s="36"/>
      <c r="M27" s="43" t="str">
        <f ca="1">IFERROR(__xludf.DUMMYFUNCTION("""COMPUTED_VALUE"""),"Kab. Pekalongan")</f>
        <v>Kab. Pekalongan</v>
      </c>
      <c r="N27" s="48">
        <f ca="1">IFERROR(__xludf.DUMMYFUNCTION("""COMPUTED_VALUE"""),2969.19)</f>
        <v>2969.19</v>
      </c>
      <c r="O27" s="43" t="str">
        <f ca="1">IFERROR(__xludf.DUMMYFUNCTION("""COMPUTED_VALUE"""),"Kab. Pemalang")</f>
        <v>Kab. Pemalang</v>
      </c>
      <c r="P27" s="48">
        <f ca="1">IFERROR(__xludf.DUMMYFUNCTION("""COMPUTED_VALUE"""),1443.77)</f>
        <v>1443.77</v>
      </c>
      <c r="Q27" s="38"/>
      <c r="R27" s="41"/>
      <c r="S27" s="41"/>
      <c r="T27" s="49"/>
      <c r="U27" s="41"/>
      <c r="V27" s="41"/>
      <c r="W27" s="39"/>
      <c r="X27" s="50"/>
      <c r="Y27" s="41"/>
      <c r="Z27" s="41"/>
      <c r="AA27" s="41"/>
    </row>
    <row r="28" spans="1:27" ht="17.25" customHeight="1">
      <c r="A28" s="42">
        <v>18</v>
      </c>
      <c r="B28" s="59" t="s">
        <v>49</v>
      </c>
      <c r="C28" s="44">
        <f>'[1]K. Dalam'!C28+'[1]K. Genjah'!C28+'[1]K. Hibrida'!C28</f>
        <v>482.88</v>
      </c>
      <c r="D28" s="44">
        <f>'[1]K. Dalam'!D28+'[1]K. Genjah'!D28+'[1]K. Hibrida'!D28</f>
        <v>2874.52</v>
      </c>
      <c r="E28" s="44">
        <f>'[1]K. Dalam'!E28+'[1]K. Genjah'!E28+'[1]K. Hibrida'!E28</f>
        <v>47.74</v>
      </c>
      <c r="F28" s="44">
        <f t="shared" si="0"/>
        <v>3405.14</v>
      </c>
      <c r="G28" s="45">
        <f>'[1]K. Dalam'!G28+'[1]K. Genjah'!G28+'[1]K. Hibrida'!G28</f>
        <v>3331.17</v>
      </c>
      <c r="H28" s="46">
        <f t="shared" si="1"/>
        <v>1158.8613055397075</v>
      </c>
      <c r="I28" s="46">
        <f>'[1]K. Dalam'!I28+'[1]K. Genjah'!I28+'[1]K. Hibrida'!I28</f>
        <v>34844</v>
      </c>
      <c r="J28" s="47">
        <f t="shared" si="2"/>
        <v>9.7725289863391115E-2</v>
      </c>
      <c r="K28" s="36"/>
      <c r="L28" s="36"/>
      <c r="M28" s="43" t="str">
        <f ca="1">IFERROR(__xludf.DUMMYFUNCTION("""COMPUTED_VALUE"""),"Kab. Pemalang")</f>
        <v>Kab. Pemalang</v>
      </c>
      <c r="N28" s="48">
        <f ca="1">IFERROR(__xludf.DUMMYFUNCTION("""COMPUTED_VALUE"""),2602.86)</f>
        <v>2602.86</v>
      </c>
      <c r="O28" s="43" t="str">
        <f ca="1">IFERROR(__xludf.DUMMYFUNCTION("""COMPUTED_VALUE"""),"Kab. Sragen")</f>
        <v>Kab. Sragen</v>
      </c>
      <c r="P28" s="48">
        <f ca="1">IFERROR(__xludf.DUMMYFUNCTION("""COMPUTED_VALUE"""),1352.62)</f>
        <v>1352.62</v>
      </c>
      <c r="Q28" s="38"/>
      <c r="R28" s="41"/>
      <c r="S28" s="41"/>
      <c r="T28" s="49"/>
      <c r="U28" s="41"/>
      <c r="V28" s="41"/>
      <c r="W28" s="39"/>
      <c r="X28" s="50"/>
      <c r="Y28" s="41"/>
      <c r="Z28" s="49"/>
      <c r="AA28" s="39"/>
    </row>
    <row r="29" spans="1:27" ht="17.25" customHeight="1">
      <c r="A29" s="42">
        <v>19</v>
      </c>
      <c r="B29" s="59" t="s">
        <v>50</v>
      </c>
      <c r="C29" s="44">
        <f>'[1]K. Dalam'!C29+'[1]K. Genjah'!C29+'[1]K. Hibrida'!C29</f>
        <v>103.7</v>
      </c>
      <c r="D29" s="44">
        <f>'[1]K. Dalam'!D29+'[1]K. Genjah'!D29+'[1]K. Hibrida'!D29</f>
        <v>113.06</v>
      </c>
      <c r="E29" s="44">
        <f>'[1]K. Dalam'!E29+'[1]K. Genjah'!E29+'[1]K. Hibrida'!E29</f>
        <v>21.63</v>
      </c>
      <c r="F29" s="44">
        <f t="shared" si="0"/>
        <v>238.39</v>
      </c>
      <c r="G29" s="45">
        <f>'[1]K. Dalam'!G29+'[1]K. Genjah'!G29+'[1]K. Hibrida'!G29</f>
        <v>56.2</v>
      </c>
      <c r="H29" s="46">
        <f t="shared" si="1"/>
        <v>497.08119582522551</v>
      </c>
      <c r="I29" s="46">
        <f>'[1]K. Dalam'!I29+'[1]K. Genjah'!I29+'[1]K. Hibrida'!I29</f>
        <v>985</v>
      </c>
      <c r="J29" s="47">
        <f t="shared" si="2"/>
        <v>0.24202030456852791</v>
      </c>
      <c r="K29" s="36"/>
      <c r="L29" s="36"/>
      <c r="M29" s="43" t="str">
        <f ca="1">IFERROR(__xludf.DUMMYFUNCTION("""COMPUTED_VALUE"""),"Kab. Sukoharjo")</f>
        <v>Kab. Sukoharjo</v>
      </c>
      <c r="N29" s="48">
        <f ca="1">IFERROR(__xludf.DUMMYFUNCTION("""COMPUTED_VALUE"""),2294.45)</f>
        <v>2294.4499999999998</v>
      </c>
      <c r="O29" s="43" t="str">
        <f ca="1">IFERROR(__xludf.DUMMYFUNCTION("""COMPUTED_VALUE"""),"Kab. Batang")</f>
        <v>Kab. Batang</v>
      </c>
      <c r="P29" s="48">
        <f ca="1">IFERROR(__xludf.DUMMYFUNCTION("""COMPUTED_VALUE"""),1001.09)</f>
        <v>1001.09</v>
      </c>
      <c r="Q29" s="38"/>
      <c r="R29" s="4"/>
      <c r="S29" s="4"/>
      <c r="T29" s="38"/>
      <c r="U29" s="4"/>
      <c r="V29" s="4"/>
      <c r="W29" s="51"/>
      <c r="X29" s="40"/>
      <c r="Y29" s="4"/>
      <c r="Z29" s="4"/>
      <c r="AA29" s="4"/>
    </row>
    <row r="30" spans="1:27" ht="17.25" customHeight="1">
      <c r="A30" s="42">
        <v>20</v>
      </c>
      <c r="B30" s="59" t="s">
        <v>51</v>
      </c>
      <c r="C30" s="44">
        <f>'[1]K. Dalam'!C30+'[1]K. Genjah'!C30+'[1]K. Hibrida'!C30</f>
        <v>1278.8700000000001</v>
      </c>
      <c r="D30" s="44">
        <f>'[1]K. Dalam'!D30+'[1]K. Genjah'!D30+'[1]K. Hibrida'!D30</f>
        <v>9406.98</v>
      </c>
      <c r="E30" s="44">
        <f>'[1]K. Dalam'!E30+'[1]K. Genjah'!E30+'[1]K. Hibrida'!E30</f>
        <v>928.38</v>
      </c>
      <c r="F30" s="44">
        <f t="shared" si="0"/>
        <v>11614.23</v>
      </c>
      <c r="G30" s="45">
        <f>'[1]K. Dalam'!G30+'[1]K. Genjah'!G30+'[1]K. Hibrida'!G30</f>
        <v>8259.01</v>
      </c>
      <c r="H30" s="46">
        <f t="shared" si="1"/>
        <v>877.96614854076449</v>
      </c>
      <c r="I30" s="46">
        <f>'[1]K. Dalam'!I30+'[1]K. Genjah'!I30+'[1]K. Hibrida'!I30</f>
        <v>31364</v>
      </c>
      <c r="J30" s="47">
        <f t="shared" si="2"/>
        <v>0.37030448922331333</v>
      </c>
      <c r="K30" s="36" t="s">
        <v>23</v>
      </c>
      <c r="L30" s="36" t="s">
        <v>24</v>
      </c>
      <c r="M30" s="43" t="str">
        <f ca="1">IFERROR(__xludf.DUMMYFUNCTION("""COMPUTED_VALUE"""),"Kab. Batang")</f>
        <v>Kab. Batang</v>
      </c>
      <c r="N30" s="48">
        <f ca="1">IFERROR(__xludf.DUMMYFUNCTION("""COMPUTED_VALUE"""),1592.77)</f>
        <v>1592.77</v>
      </c>
      <c r="O30" s="43" t="str">
        <f ca="1">IFERROR(__xludf.DUMMYFUNCTION("""COMPUTED_VALUE"""),"Kab. Brebes")</f>
        <v>Kab. Brebes</v>
      </c>
      <c r="P30" s="48">
        <f ca="1">IFERROR(__xludf.DUMMYFUNCTION("""COMPUTED_VALUE"""),767.36)</f>
        <v>767.36</v>
      </c>
      <c r="Q30" s="38"/>
      <c r="R30" s="41"/>
      <c r="S30" s="41"/>
      <c r="T30" s="49"/>
      <c r="U30" s="41"/>
      <c r="V30" s="41"/>
      <c r="W30" s="39"/>
      <c r="X30" s="50"/>
      <c r="Y30" s="41"/>
      <c r="Z30" s="41"/>
      <c r="AA30" s="41"/>
    </row>
    <row r="31" spans="1:27" ht="17.25" customHeight="1">
      <c r="A31" s="42">
        <v>21</v>
      </c>
      <c r="B31" s="59" t="s">
        <v>52</v>
      </c>
      <c r="C31" s="44">
        <f>'[1]K. Dalam'!C31+'[1]K. Genjah'!C31+'[1]K. Hibrida'!C31</f>
        <v>21.86</v>
      </c>
      <c r="D31" s="44">
        <f>'[1]K. Dalam'!D31+'[1]K. Genjah'!D31+'[1]K. Hibrida'!D31</f>
        <v>701.40000000000009</v>
      </c>
      <c r="E31" s="44">
        <f>'[1]K. Dalam'!E31+'[1]K. Genjah'!E31+'[1]K. Hibrida'!E31</f>
        <v>43.89</v>
      </c>
      <c r="F31" s="44">
        <f t="shared" si="0"/>
        <v>767.15000000000009</v>
      </c>
      <c r="G31" s="45">
        <f>'[1]K. Dalam'!G31+'[1]K. Genjah'!G31+'[1]K. Hibrida'!G31</f>
        <v>658.96999999999991</v>
      </c>
      <c r="H31" s="46">
        <f t="shared" si="1"/>
        <v>939.50670088394611</v>
      </c>
      <c r="I31" s="46">
        <f>'[1]K. Dalam'!I31+'[1]K. Genjah'!I31+'[1]K. Hibrida'!I31</f>
        <v>3512</v>
      </c>
      <c r="J31" s="47">
        <f t="shared" si="2"/>
        <v>0.21843678815489753</v>
      </c>
      <c r="K31" s="36"/>
      <c r="L31" s="36"/>
      <c r="M31" s="43" t="str">
        <f ca="1">IFERROR(__xludf.DUMMYFUNCTION("""COMPUTED_VALUE"""),"Kab. Karanganyar")</f>
        <v>Kab. Karanganyar</v>
      </c>
      <c r="N31" s="48">
        <f ca="1">IFERROR(__xludf.DUMMYFUNCTION("""COMPUTED_VALUE"""),1371.55)</f>
        <v>1371.55</v>
      </c>
      <c r="O31" s="43" t="str">
        <f ca="1">IFERROR(__xludf.DUMMYFUNCTION("""COMPUTED_VALUE"""),"Kab. Demak")</f>
        <v>Kab. Demak</v>
      </c>
      <c r="P31" s="48">
        <f ca="1">IFERROR(__xludf.DUMMYFUNCTION("""COMPUTED_VALUE"""),658.969999999999)</f>
        <v>658.969999999999</v>
      </c>
      <c r="Q31" s="38"/>
      <c r="R31" s="4"/>
      <c r="S31" s="4"/>
      <c r="T31" s="38"/>
      <c r="U31" s="4"/>
      <c r="V31" s="4"/>
      <c r="W31" s="51"/>
      <c r="X31" s="40"/>
      <c r="Y31" s="4"/>
      <c r="Z31" s="41"/>
      <c r="AA31" s="41"/>
    </row>
    <row r="32" spans="1:27" ht="17.25" customHeight="1">
      <c r="A32" s="42">
        <v>22</v>
      </c>
      <c r="B32" s="59" t="s">
        <v>53</v>
      </c>
      <c r="C32" s="44">
        <f>'[1]K. Dalam'!C32+'[1]K. Genjah'!C32+'[1]K. Hibrida'!C32</f>
        <v>923.4</v>
      </c>
      <c r="D32" s="44">
        <f>'[1]K. Dalam'!D32+'[1]K. Genjah'!D32+'[1]K. Hibrida'!D32</f>
        <v>4213.59</v>
      </c>
      <c r="E32" s="44">
        <f>'[1]K. Dalam'!E32+'[1]K. Genjah'!E32+'[1]K. Hibrida'!E32</f>
        <v>324.28000000000003</v>
      </c>
      <c r="F32" s="44">
        <f t="shared" si="0"/>
        <v>5461.2699999999995</v>
      </c>
      <c r="G32" s="45">
        <f>'[1]K. Dalam'!G32+'[1]K. Genjah'!G32+'[1]K. Hibrida'!G32</f>
        <v>3437.2599999999998</v>
      </c>
      <c r="H32" s="46">
        <f t="shared" si="1"/>
        <v>815.75568576914213</v>
      </c>
      <c r="I32" s="46">
        <f>'[1]K. Dalam'!I32+'[1]K. Genjah'!I32+'[1]K. Hibrida'!I32</f>
        <v>20141</v>
      </c>
      <c r="J32" s="47">
        <f t="shared" si="2"/>
        <v>0.27115187925127848</v>
      </c>
      <c r="K32" s="36"/>
      <c r="L32" s="36"/>
      <c r="M32" s="43" t="str">
        <f ca="1">IFERROR(__xludf.DUMMYFUNCTION("""COMPUTED_VALUE"""),"Kab. Grobogan")</f>
        <v>Kab. Grobogan</v>
      </c>
      <c r="N32" s="48">
        <f ca="1">IFERROR(__xludf.DUMMYFUNCTION("""COMPUTED_VALUE"""),1368.5)</f>
        <v>1368.5</v>
      </c>
      <c r="O32" s="43" t="str">
        <f ca="1">IFERROR(__xludf.DUMMYFUNCTION("""COMPUTED_VALUE"""),"Kab. Sukoharjo")</f>
        <v>Kab. Sukoharjo</v>
      </c>
      <c r="P32" s="48">
        <f ca="1">IFERROR(__xludf.DUMMYFUNCTION("""COMPUTED_VALUE"""),597.06)</f>
        <v>597.05999999999995</v>
      </c>
      <c r="Q32" s="38"/>
      <c r="R32" s="41"/>
      <c r="S32" s="41"/>
      <c r="T32" s="49"/>
      <c r="U32" s="41"/>
      <c r="V32" s="41"/>
      <c r="W32" s="39"/>
      <c r="X32" s="50"/>
      <c r="Y32" s="41"/>
      <c r="Z32" s="4"/>
      <c r="AA32" s="4"/>
    </row>
    <row r="33" spans="1:27" ht="17.25" customHeight="1">
      <c r="A33" s="42">
        <v>23</v>
      </c>
      <c r="B33" s="59" t="s">
        <v>54</v>
      </c>
      <c r="C33" s="44">
        <f>'[1]K. Dalam'!C33+'[1]K. Genjah'!C33+'[1]K. Hibrida'!C33</f>
        <v>123.42</v>
      </c>
      <c r="D33" s="44">
        <f>'[1]K. Dalam'!D33+'[1]K. Genjah'!D33+'[1]K. Hibrida'!D33</f>
        <v>430.47</v>
      </c>
      <c r="E33" s="44">
        <f>'[1]K. Dalam'!E33+'[1]K. Genjah'!E33+'[1]K. Hibrida'!E33</f>
        <v>10.42</v>
      </c>
      <c r="F33" s="44">
        <f t="shared" si="0"/>
        <v>564.30999999999995</v>
      </c>
      <c r="G33" s="45">
        <f>'[1]K. Dalam'!G33+'[1]K. Genjah'!G33+'[1]K. Hibrida'!G33</f>
        <v>290.77</v>
      </c>
      <c r="H33" s="46">
        <f t="shared" si="1"/>
        <v>675.47099681743202</v>
      </c>
      <c r="I33" s="46">
        <f>'[1]K. Dalam'!I33+'[1]K. Genjah'!I33+'[1]K. Hibrida'!I33</f>
        <v>3373</v>
      </c>
      <c r="J33" s="47">
        <f t="shared" si="2"/>
        <v>0.16730210495108211</v>
      </c>
      <c r="K33" s="36"/>
      <c r="L33" s="36"/>
      <c r="M33" s="43" t="str">
        <f ca="1">IFERROR(__xludf.DUMMYFUNCTION("""COMPUTED_VALUE"""),"Kab. Blora")</f>
        <v>Kab. Blora</v>
      </c>
      <c r="N33" s="48">
        <f ca="1">IFERROR(__xludf.DUMMYFUNCTION("""COMPUTED_VALUE"""),1243.05)</f>
        <v>1243.05</v>
      </c>
      <c r="O33" s="43" t="str">
        <f ca="1">IFERROR(__xludf.DUMMYFUNCTION("""COMPUTED_VALUE"""),"Kab. Kendal")</f>
        <v>Kab. Kendal</v>
      </c>
      <c r="P33" s="48">
        <f ca="1">IFERROR(__xludf.DUMMYFUNCTION("""COMPUTED_VALUE"""),499.549999999999)</f>
        <v>499.54999999999899</v>
      </c>
      <c r="Q33" s="38"/>
      <c r="R33" s="60"/>
      <c r="S33" s="41"/>
      <c r="T33" s="49"/>
      <c r="U33" s="41"/>
      <c r="V33" s="41"/>
      <c r="W33" s="54"/>
      <c r="X33" s="53"/>
      <c r="Y33" s="41"/>
      <c r="Z33" s="4"/>
      <c r="AA33" s="4"/>
    </row>
    <row r="34" spans="1:27" ht="17.25" customHeight="1">
      <c r="A34" s="42">
        <v>24</v>
      </c>
      <c r="B34" s="59" t="s">
        <v>55</v>
      </c>
      <c r="C34" s="44">
        <f>'[1]K. Dalam'!C34+'[1]K. Genjah'!C34+'[1]K. Hibrida'!C34</f>
        <v>128.93</v>
      </c>
      <c r="D34" s="44">
        <f>'[1]K. Dalam'!D34+'[1]K. Genjah'!D34+'[1]K. Hibrida'!D34</f>
        <v>768.53000000000009</v>
      </c>
      <c r="E34" s="44">
        <f>'[1]K. Dalam'!E34+'[1]K. Genjah'!E34+'[1]K. Hibrida'!E34</f>
        <v>73.83</v>
      </c>
      <c r="F34" s="44">
        <f t="shared" si="0"/>
        <v>971.29000000000008</v>
      </c>
      <c r="G34" s="45">
        <f>'[1]K. Dalam'!G34+'[1]K. Genjah'!G34+'[1]K. Hibrida'!G34</f>
        <v>499.54999999999995</v>
      </c>
      <c r="H34" s="46">
        <f t="shared" si="1"/>
        <v>650.00715651958922</v>
      </c>
      <c r="I34" s="46">
        <f>'[1]K. Dalam'!I34+'[1]K. Genjah'!I34+'[1]K. Hibrida'!I34</f>
        <v>8372</v>
      </c>
      <c r="J34" s="47">
        <f t="shared" si="2"/>
        <v>0.11601648351648353</v>
      </c>
      <c r="K34" s="3"/>
      <c r="L34" s="3"/>
      <c r="M34" s="43" t="str">
        <f ca="1">IFERROR(__xludf.DUMMYFUNCTION("""COMPUTED_VALUE"""),"Kab. Tegal")</f>
        <v>Kab. Tegal</v>
      </c>
      <c r="N34" s="48">
        <f ca="1">IFERROR(__xludf.DUMMYFUNCTION("""COMPUTED_VALUE"""),1090.3)</f>
        <v>1090.3</v>
      </c>
      <c r="O34" s="43" t="str">
        <f ca="1">IFERROR(__xludf.DUMMYFUNCTION("""COMPUTED_VALUE"""),"Kab. Karanganyar")</f>
        <v>Kab. Karanganyar</v>
      </c>
      <c r="P34" s="48">
        <f ca="1">IFERROR(__xludf.DUMMYFUNCTION("""COMPUTED_VALUE"""),461.4)</f>
        <v>461.4</v>
      </c>
      <c r="Q34" s="38"/>
      <c r="R34" s="41"/>
      <c r="S34" s="41"/>
      <c r="T34" s="49"/>
      <c r="U34" s="41"/>
      <c r="V34" s="41"/>
      <c r="W34" s="39"/>
      <c r="X34" s="50"/>
      <c r="Y34" s="41"/>
      <c r="Z34" s="4"/>
      <c r="AA34" s="4"/>
    </row>
    <row r="35" spans="1:27" ht="17.25" customHeight="1">
      <c r="A35" s="42">
        <v>25</v>
      </c>
      <c r="B35" s="59" t="s">
        <v>56</v>
      </c>
      <c r="C35" s="44">
        <f>'[1]K. Dalam'!C35+'[1]K. Genjah'!C35+'[1]K. Hibrida'!C35</f>
        <v>131.94999999999999</v>
      </c>
      <c r="D35" s="44">
        <f>'[1]K. Dalam'!D35+'[1]K. Genjah'!D35+'[1]K. Hibrida'!D35</f>
        <v>1239.02</v>
      </c>
      <c r="E35" s="44">
        <f>'[1]K. Dalam'!E35+'[1]K. Genjah'!E35+'[1]K. Hibrida'!E35</f>
        <v>221.8</v>
      </c>
      <c r="F35" s="44">
        <f t="shared" si="0"/>
        <v>1592.77</v>
      </c>
      <c r="G35" s="45">
        <f>'[1]K. Dalam'!G35+'[1]K. Genjah'!G35+'[1]K. Hibrida'!G35</f>
        <v>1001.09</v>
      </c>
      <c r="H35" s="46">
        <f t="shared" si="1"/>
        <v>807.96920146567447</v>
      </c>
      <c r="I35" s="46">
        <f>'[1]K. Dalam'!I35+'[1]K. Genjah'!I35+'[1]K. Hibrida'!I35</f>
        <v>11418</v>
      </c>
      <c r="J35" s="47">
        <f t="shared" si="2"/>
        <v>0.1394964091784901</v>
      </c>
      <c r="K35" s="3"/>
      <c r="L35" s="3"/>
      <c r="M35" s="43" t="str">
        <f ca="1">IFERROR(__xludf.DUMMYFUNCTION("""COMPUTED_VALUE"""),"Kab. Brebes")</f>
        <v>Kab. Brebes</v>
      </c>
      <c r="N35" s="48">
        <f ca="1">IFERROR(__xludf.DUMMYFUNCTION("""COMPUTED_VALUE"""),1080.83)</f>
        <v>1080.83</v>
      </c>
      <c r="O35" s="43" t="str">
        <f ca="1">IFERROR(__xludf.DUMMYFUNCTION("""COMPUTED_VALUE"""),"Kab. Temanggung")</f>
        <v>Kab. Temanggung</v>
      </c>
      <c r="P35" s="48">
        <f ca="1">IFERROR(__xludf.DUMMYFUNCTION("""COMPUTED_VALUE"""),290.77)</f>
        <v>290.77</v>
      </c>
      <c r="Q35" s="38"/>
      <c r="R35" s="4"/>
      <c r="S35" s="4"/>
      <c r="T35" s="38"/>
      <c r="U35" s="4"/>
      <c r="V35" s="4"/>
      <c r="W35" s="39"/>
      <c r="X35" s="40"/>
      <c r="Y35" s="4"/>
      <c r="Z35" s="4"/>
      <c r="AA35" s="4"/>
    </row>
    <row r="36" spans="1:27" ht="17.25" customHeight="1">
      <c r="A36" s="42">
        <v>26</v>
      </c>
      <c r="B36" s="59" t="s">
        <v>57</v>
      </c>
      <c r="C36" s="44">
        <f>'[1]K. Dalam'!C36+'[1]K. Genjah'!C36+'[1]K. Hibrida'!C36</f>
        <v>39.36</v>
      </c>
      <c r="D36" s="44">
        <f>'[1]K. Dalam'!D36+'[1]K. Genjah'!D36+'[1]K. Hibrida'!D36</f>
        <v>2848.27</v>
      </c>
      <c r="E36" s="44">
        <f>'[1]K. Dalam'!E36+'[1]K. Genjah'!E36+'[1]K. Hibrida'!E36</f>
        <v>81.56</v>
      </c>
      <c r="F36" s="44">
        <f t="shared" si="0"/>
        <v>2969.19</v>
      </c>
      <c r="G36" s="45">
        <f>'[1]K. Dalam'!G36+'[1]K. Genjah'!G36+'[1]K. Hibrida'!G36</f>
        <v>3788.32</v>
      </c>
      <c r="H36" s="46">
        <f t="shared" si="1"/>
        <v>1330.0424468185952</v>
      </c>
      <c r="I36" s="46">
        <f>'[1]K. Dalam'!I36+'[1]K. Genjah'!I36+'[1]K. Hibrida'!I36</f>
        <v>16464</v>
      </c>
      <c r="J36" s="47">
        <f t="shared" si="2"/>
        <v>0.18034438775510203</v>
      </c>
      <c r="K36" s="3"/>
      <c r="L36" s="3"/>
      <c r="M36" s="43" t="str">
        <f ca="1">IFERROR(__xludf.DUMMYFUNCTION("""COMPUTED_VALUE"""),"Kab. Kendal")</f>
        <v>Kab. Kendal</v>
      </c>
      <c r="N36" s="48">
        <f ca="1">IFERROR(__xludf.DUMMYFUNCTION("""COMPUTED_VALUE"""),971.29)</f>
        <v>971.29</v>
      </c>
      <c r="O36" s="43" t="str">
        <f ca="1">IFERROR(__xludf.DUMMYFUNCTION("""COMPUTED_VALUE"""),"Kab. Tegal")</f>
        <v>Kab. Tegal</v>
      </c>
      <c r="P36" s="48">
        <f ca="1">IFERROR(__xludf.DUMMYFUNCTION("""COMPUTED_VALUE"""),269.56)</f>
        <v>269.56</v>
      </c>
      <c r="Q36" s="38"/>
      <c r="R36" s="41"/>
      <c r="S36" s="41"/>
      <c r="T36" s="49"/>
      <c r="U36" s="41"/>
      <c r="V36" s="41"/>
      <c r="W36" s="39"/>
      <c r="X36" s="50"/>
      <c r="Y36" s="41"/>
      <c r="Z36" s="41"/>
      <c r="AA36" s="41"/>
    </row>
    <row r="37" spans="1:27" ht="17.25" customHeight="1">
      <c r="A37" s="42">
        <v>27</v>
      </c>
      <c r="B37" s="59" t="s">
        <v>58</v>
      </c>
      <c r="C37" s="44">
        <f>'[1]K. Dalam'!C37+'[1]K. Genjah'!C37+'[1]K. Hibrida'!C37</f>
        <v>158.03</v>
      </c>
      <c r="D37" s="44">
        <f>'[1]K. Dalam'!D37+'[1]K. Genjah'!D37+'[1]K. Hibrida'!D37</f>
        <v>2135.7399999999998</v>
      </c>
      <c r="E37" s="44">
        <f>'[1]K. Dalam'!E37+'[1]K. Genjah'!E37+'[1]K. Hibrida'!E37</f>
        <v>309.08999999999997</v>
      </c>
      <c r="F37" s="44">
        <f t="shared" si="0"/>
        <v>2602.86</v>
      </c>
      <c r="G37" s="45">
        <f>'[1]K. Dalam'!G37+'[1]K. Genjah'!G37+'[1]K. Hibrida'!G37</f>
        <v>1443.77</v>
      </c>
      <c r="H37" s="46">
        <f t="shared" si="1"/>
        <v>676.00456984464404</v>
      </c>
      <c r="I37" s="46">
        <f>'[1]K. Dalam'!I37+'[1]K. Genjah'!I37+'[1]K. Hibrida'!I37</f>
        <v>6479</v>
      </c>
      <c r="J37" s="47">
        <f t="shared" si="2"/>
        <v>0.40173792251890728</v>
      </c>
      <c r="K37" s="3"/>
      <c r="L37" s="3"/>
      <c r="M37" s="43" t="str">
        <f ca="1">IFERROR(__xludf.DUMMYFUNCTION("""COMPUTED_VALUE"""),"Kab. Demak")</f>
        <v>Kab. Demak</v>
      </c>
      <c r="N37" s="48">
        <f ca="1">IFERROR(__xludf.DUMMYFUNCTION("""COMPUTED_VALUE"""),767.15)</f>
        <v>767.15</v>
      </c>
      <c r="O37" s="43" t="str">
        <f ca="1">IFERROR(__xludf.DUMMYFUNCTION("""COMPUTED_VALUE"""),"Kab. Grobogan")</f>
        <v>Kab. Grobogan</v>
      </c>
      <c r="P37" s="48">
        <f ca="1">IFERROR(__xludf.DUMMYFUNCTION("""COMPUTED_VALUE"""),242.32)</f>
        <v>242.32</v>
      </c>
      <c r="Q37" s="38"/>
      <c r="R37" s="4"/>
      <c r="S37" s="4"/>
      <c r="T37" s="38"/>
      <c r="U37" s="4"/>
      <c r="V37" s="4"/>
      <c r="W37" s="39"/>
      <c r="X37" s="40"/>
      <c r="Y37" s="4"/>
      <c r="Z37" s="41"/>
      <c r="AA37" s="41"/>
    </row>
    <row r="38" spans="1:27" ht="17.25" customHeight="1">
      <c r="A38" s="42">
        <v>28</v>
      </c>
      <c r="B38" s="59" t="s">
        <v>59</v>
      </c>
      <c r="C38" s="44">
        <f>'[1]K. Dalam'!C38+'[1]K. Genjah'!C38+'[1]K. Hibrida'!C38</f>
        <v>367.55</v>
      </c>
      <c r="D38" s="44">
        <f>'[1]K. Dalam'!D38+'[1]K. Genjah'!D38+'[1]K. Hibrida'!D38</f>
        <v>658.28</v>
      </c>
      <c r="E38" s="44">
        <f>'[1]K. Dalam'!E38+'[1]K. Genjah'!E38+'[1]K. Hibrida'!E38</f>
        <v>64.47</v>
      </c>
      <c r="F38" s="44">
        <f t="shared" si="0"/>
        <v>1090.3</v>
      </c>
      <c r="G38" s="61">
        <f>'[1]K. Dalam'!G38+'[1]K. Genjah'!G38+'[1]K. Hibrida'!G38</f>
        <v>269.56</v>
      </c>
      <c r="H38" s="46">
        <f t="shared" si="1"/>
        <v>409.49140183508541</v>
      </c>
      <c r="I38" s="46">
        <f>'[1]K. Dalam'!I38+'[1]K. Genjah'!I38+'[1]K. Hibrida'!I38</f>
        <v>7102</v>
      </c>
      <c r="J38" s="47">
        <f t="shared" si="2"/>
        <v>0.15352013517319063</v>
      </c>
      <c r="K38" s="3"/>
      <c r="L38" s="3"/>
      <c r="M38" s="43" t="str">
        <f ca="1">IFERROR(__xludf.DUMMYFUNCTION("""COMPUTED_VALUE"""),"Kab. Temanggung")</f>
        <v>Kab. Temanggung</v>
      </c>
      <c r="N38" s="48">
        <f ca="1">IFERROR(__xludf.DUMMYFUNCTION("""COMPUTED_VALUE"""),564.31)</f>
        <v>564.30999999999995</v>
      </c>
      <c r="O38" s="43" t="str">
        <f ca="1">IFERROR(__xludf.DUMMYFUNCTION("""COMPUTED_VALUE"""),"Kota Salatiga")</f>
        <v>Kota Salatiga</v>
      </c>
      <c r="P38" s="48">
        <f ca="1">IFERROR(__xludf.DUMMYFUNCTION("""COMPUTED_VALUE"""),81.59)</f>
        <v>81.59</v>
      </c>
      <c r="Q38" s="38"/>
      <c r="R38" s="4"/>
      <c r="S38" s="4"/>
      <c r="T38" s="38"/>
      <c r="U38" s="4"/>
      <c r="V38" s="41"/>
      <c r="W38" s="51"/>
      <c r="X38" s="40"/>
      <c r="Y38" s="4"/>
      <c r="Z38" s="4"/>
      <c r="AA38" s="4"/>
    </row>
    <row r="39" spans="1:27" ht="17.25" customHeight="1">
      <c r="A39" s="42">
        <v>29</v>
      </c>
      <c r="B39" s="59" t="s">
        <v>60</v>
      </c>
      <c r="C39" s="44">
        <f>'[1]K. Dalam'!C39+'[1]K. Genjah'!C39+'[1]K. Hibrida'!C39</f>
        <v>181.08</v>
      </c>
      <c r="D39" s="44">
        <f>'[1]K. Dalam'!D39+'[1]K. Genjah'!D39+'[1]K. Hibrida'!D39</f>
        <v>866.25</v>
      </c>
      <c r="E39" s="44">
        <f>'[1]K. Dalam'!E39+'[1]K. Genjah'!E39+'[1]K. Hibrida'!E39</f>
        <v>33.5</v>
      </c>
      <c r="F39" s="44">
        <f t="shared" si="0"/>
        <v>1080.83</v>
      </c>
      <c r="G39" s="45">
        <f>'[1]K. Dalam'!G39+'[1]K. Genjah'!G39+'[1]K. Hibrida'!G39</f>
        <v>767.36</v>
      </c>
      <c r="H39" s="46">
        <f t="shared" si="1"/>
        <v>885.84126984126988</v>
      </c>
      <c r="I39" s="46">
        <f>'[1]K. Dalam'!I39+'[1]K. Genjah'!I39+'[1]K. Hibrida'!I39</f>
        <v>9302</v>
      </c>
      <c r="J39" s="47">
        <f t="shared" si="2"/>
        <v>0.11619329176521177</v>
      </c>
      <c r="K39" s="3"/>
      <c r="L39" s="36" t="s">
        <v>61</v>
      </c>
      <c r="M39" s="43" t="str">
        <f ca="1">IFERROR(__xludf.DUMMYFUNCTION("""COMPUTED_VALUE"""),"Kab. Kudus")</f>
        <v>Kab. Kudus</v>
      </c>
      <c r="N39" s="48">
        <f ca="1">IFERROR(__xludf.DUMMYFUNCTION("""COMPUTED_VALUE"""),238.39)</f>
        <v>238.39</v>
      </c>
      <c r="O39" s="43" t="str">
        <f ca="1">IFERROR(__xludf.DUMMYFUNCTION("""COMPUTED_VALUE"""),"Kab. Kudus")</f>
        <v>Kab. Kudus</v>
      </c>
      <c r="P39" s="48">
        <f ca="1">IFERROR(__xludf.DUMMYFUNCTION("""COMPUTED_VALUE"""),56.2)</f>
        <v>56.2</v>
      </c>
      <c r="Q39" s="38"/>
      <c r="R39" s="4"/>
      <c r="S39" s="4"/>
      <c r="T39" s="38"/>
      <c r="U39" s="4"/>
      <c r="V39" s="4"/>
      <c r="W39" s="51"/>
      <c r="X39" s="40"/>
      <c r="Y39" s="4"/>
      <c r="Z39" s="41"/>
      <c r="AA39" s="41"/>
    </row>
    <row r="40" spans="1:27" ht="17.25" customHeight="1">
      <c r="A40" s="42">
        <v>30</v>
      </c>
      <c r="B40" s="59" t="s">
        <v>62</v>
      </c>
      <c r="C40" s="44">
        <f>'[1]K. Dalam'!C40+'[1]K. Genjah'!C40+'[1]K. Hibrida'!C40</f>
        <v>0</v>
      </c>
      <c r="D40" s="44">
        <f>'[1]K. Dalam'!D40+'[1]K. Genjah'!D40+'[1]K. Hibrida'!D40</f>
        <v>0</v>
      </c>
      <c r="E40" s="44">
        <f>'[1]K. Dalam'!E40+'[1]K. Genjah'!E40+'[1]K. Hibrida'!E40</f>
        <v>0</v>
      </c>
      <c r="F40" s="44">
        <f t="shared" si="0"/>
        <v>0</v>
      </c>
      <c r="G40" s="45">
        <f>'[1]K. Dalam'!G40+'[1]K. Genjah'!G40+'[1]K. Hibrida'!G40</f>
        <v>0</v>
      </c>
      <c r="H40" s="46">
        <f>IFERROR(G40*1000/D40,0)</f>
        <v>0</v>
      </c>
      <c r="I40" s="46">
        <f>'[1]K. Dalam'!I40+'[1]K. Genjah'!I40+'[1]K. Hibrida'!I40</f>
        <v>0</v>
      </c>
      <c r="J40" s="47">
        <f t="shared" si="2"/>
        <v>0</v>
      </c>
      <c r="K40" s="3"/>
      <c r="L40" s="3"/>
      <c r="M40" s="43" t="str">
        <f ca="1">IFERROR(__xludf.DUMMYFUNCTION("""COMPUTED_VALUE"""),"Kota Salatiga")</f>
        <v>Kota Salatiga</v>
      </c>
      <c r="N40" s="48">
        <f ca="1">IFERROR(__xludf.DUMMYFUNCTION("""COMPUTED_VALUE"""),192.14)</f>
        <v>192.14</v>
      </c>
      <c r="O40" s="43" t="str">
        <f ca="1">IFERROR(__xludf.DUMMYFUNCTION("""COMPUTED_VALUE"""),"Kab. Blora")</f>
        <v>Kab. Blora</v>
      </c>
      <c r="P40" s="48">
        <f ca="1">IFERROR(__xludf.DUMMYFUNCTION("""COMPUTED_VALUE"""),39.56)</f>
        <v>39.56</v>
      </c>
      <c r="Q40" s="38"/>
      <c r="R40" s="41"/>
      <c r="S40" s="41"/>
      <c r="T40" s="49"/>
      <c r="U40" s="41"/>
      <c r="V40" s="41"/>
      <c r="W40" s="39"/>
      <c r="X40" s="50"/>
      <c r="Y40" s="41"/>
      <c r="Z40" s="4"/>
      <c r="AA40" s="4"/>
    </row>
    <row r="41" spans="1:27" ht="17.25" customHeight="1">
      <c r="A41" s="42">
        <v>31</v>
      </c>
      <c r="B41" s="59" t="s">
        <v>63</v>
      </c>
      <c r="C41" s="44">
        <f>'[1]K. Dalam'!C41+'[1]K. Genjah'!C41+'[1]K. Hibrida'!C41</f>
        <v>10</v>
      </c>
      <c r="D41" s="44">
        <f>'[1]K. Dalam'!D41+'[1]K. Genjah'!D41+'[1]K. Hibrida'!D41</f>
        <v>179.58</v>
      </c>
      <c r="E41" s="44">
        <f>'[1]K. Dalam'!E41+'[1]K. Genjah'!E41+'[1]K. Hibrida'!E41</f>
        <v>2.56</v>
      </c>
      <c r="F41" s="44">
        <f t="shared" si="0"/>
        <v>192.14000000000001</v>
      </c>
      <c r="G41" s="45">
        <f>'[1]K. Dalam'!G41+'[1]K. Genjah'!G41+'[1]K. Hibrida'!G41</f>
        <v>81.59</v>
      </c>
      <c r="H41" s="46">
        <f t="shared" ref="H41:H43" si="3">G41*1000/D41</f>
        <v>454.33789954337897</v>
      </c>
      <c r="I41" s="46">
        <f>'[1]K. Dalam'!I41+'[1]K. Genjah'!I41+'[1]K. Hibrida'!I41</f>
        <v>903</v>
      </c>
      <c r="J41" s="47">
        <f t="shared" si="2"/>
        <v>0.21277962347729792</v>
      </c>
      <c r="K41" s="3"/>
      <c r="L41" s="3"/>
      <c r="M41" s="43" t="str">
        <f ca="1">IFERROR(__xludf.DUMMYFUNCTION("""COMPUTED_VALUE"""),"Kota Semarang")</f>
        <v>Kota Semarang</v>
      </c>
      <c r="N41" s="48">
        <f ca="1">IFERROR(__xludf.DUMMYFUNCTION("""COMPUTED_VALUE"""),183.33)</f>
        <v>183.33</v>
      </c>
      <c r="O41" s="43" t="str">
        <f ca="1">IFERROR(__xludf.DUMMYFUNCTION("""COMPUTED_VALUE"""),"Kota Semarang")</f>
        <v>Kota Semarang</v>
      </c>
      <c r="P41" s="48">
        <f ca="1">IFERROR(__xludf.DUMMYFUNCTION("""COMPUTED_VALUE"""),0.5)</f>
        <v>0.5</v>
      </c>
      <c r="Q41" s="38"/>
      <c r="R41" s="41"/>
      <c r="S41" s="41"/>
      <c r="T41" s="49"/>
      <c r="U41" s="41"/>
      <c r="V41" s="41"/>
      <c r="W41" s="39"/>
      <c r="X41" s="50"/>
      <c r="Y41" s="41"/>
      <c r="Z41" s="41"/>
      <c r="AA41" s="41"/>
    </row>
    <row r="42" spans="1:27" ht="17.25" customHeight="1">
      <c r="A42" s="62">
        <v>32</v>
      </c>
      <c r="B42" s="63" t="s">
        <v>64</v>
      </c>
      <c r="C42" s="64">
        <f>'[1]K. Dalam'!C42+'[1]K. Genjah'!C42+'[1]K. Hibrida'!C42</f>
        <v>0</v>
      </c>
      <c r="D42" s="64">
        <f>'[1]K. Dalam'!D42+'[1]K. Genjah'!D42+'[1]K. Hibrida'!D42</f>
        <v>178.33</v>
      </c>
      <c r="E42" s="64">
        <f>'[1]K. Dalam'!E42+'[1]K. Genjah'!E42+'[1]K. Hibrida'!E42</f>
        <v>5</v>
      </c>
      <c r="F42" s="64">
        <f t="shared" si="0"/>
        <v>183.33</v>
      </c>
      <c r="G42" s="65">
        <f>'[1]K. Dalam'!G42+'[1]K. Genjah'!G42+'[1]K. Hibrida'!G42</f>
        <v>0.5</v>
      </c>
      <c r="H42" s="66">
        <f t="shared" si="3"/>
        <v>2.8037907250602814</v>
      </c>
      <c r="I42" s="66">
        <f>'[1]K. Dalam'!I42+'[1]K. Genjah'!I42+'[1]K. Hibrida'!I42</f>
        <v>0</v>
      </c>
      <c r="J42" s="67">
        <f t="shared" si="2"/>
        <v>0</v>
      </c>
      <c r="K42" s="3"/>
      <c r="L42" s="3"/>
      <c r="M42" s="68"/>
      <c r="N42" s="48"/>
      <c r="O42" s="68"/>
      <c r="P42" s="48"/>
      <c r="Q42" s="38"/>
      <c r="R42" s="41"/>
      <c r="S42" s="41"/>
      <c r="T42" s="49"/>
      <c r="U42" s="41"/>
      <c r="V42" s="41"/>
      <c r="W42" s="39"/>
      <c r="X42" s="50"/>
      <c r="Y42" s="41"/>
      <c r="Z42" s="41"/>
      <c r="AA42" s="41"/>
    </row>
    <row r="43" spans="1:27" ht="17.25" customHeight="1">
      <c r="A43" s="69" t="s">
        <v>65</v>
      </c>
      <c r="B43" s="70"/>
      <c r="C43" s="71">
        <f t="shared" ref="C43:E43" si="4">SUM(C$11:C$42)</f>
        <v>41874.76999999999</v>
      </c>
      <c r="D43" s="71">
        <f t="shared" si="4"/>
        <v>142639.46999999997</v>
      </c>
      <c r="E43" s="71">
        <f t="shared" si="4"/>
        <v>12808.229999999996</v>
      </c>
      <c r="F43" s="72">
        <f>C43+D43+E43</f>
        <v>197322.46999999997</v>
      </c>
      <c r="G43" s="71">
        <f>SUM(G$11:G$42)</f>
        <v>139079.08999999994</v>
      </c>
      <c r="H43" s="73">
        <f t="shared" si="3"/>
        <v>975.0393071426862</v>
      </c>
      <c r="I43" s="74">
        <f>SUM(I$11:I$42)</f>
        <v>815065</v>
      </c>
      <c r="J43" s="75">
        <f t="shared" si="2"/>
        <v>0.24209415200014719</v>
      </c>
      <c r="K43" s="3"/>
      <c r="L43" s="3"/>
      <c r="M43" s="52"/>
      <c r="N43" s="48"/>
      <c r="O43" s="52"/>
      <c r="P43" s="48"/>
      <c r="Q43" s="38"/>
      <c r="R43" s="41"/>
      <c r="S43" s="41"/>
      <c r="T43" s="49"/>
      <c r="U43" s="41"/>
      <c r="V43" s="41"/>
      <c r="W43" s="39"/>
      <c r="X43" s="50"/>
      <c r="Y43" s="41"/>
      <c r="Z43" s="41"/>
      <c r="AA43" s="41"/>
    </row>
    <row r="44" spans="1:27" ht="17.25" customHeight="1">
      <c r="A44" s="69" t="s">
        <v>66</v>
      </c>
      <c r="B44" s="70"/>
      <c r="C44" s="71">
        <v>42703.469999999979</v>
      </c>
      <c r="D44" s="71">
        <v>139591.47</v>
      </c>
      <c r="E44" s="71">
        <v>12569.429999999998</v>
      </c>
      <c r="F44" s="72">
        <v>194864.36999999997</v>
      </c>
      <c r="G44" s="71">
        <v>152501.03999999998</v>
      </c>
      <c r="H44" s="73">
        <v>1092.4810806849441</v>
      </c>
      <c r="I44" s="74">
        <v>829957</v>
      </c>
      <c r="J44" s="75">
        <v>0.23478851313983731</v>
      </c>
      <c r="K44" s="3"/>
      <c r="L44" s="3"/>
      <c r="M44" s="52"/>
      <c r="N44" s="48"/>
      <c r="O44" s="52"/>
      <c r="P44" s="48"/>
      <c r="Q44" s="38"/>
      <c r="R44" s="41"/>
      <c r="S44" s="41"/>
      <c r="T44" s="49"/>
      <c r="U44" s="41"/>
      <c r="V44" s="41"/>
      <c r="W44" s="39"/>
      <c r="X44" s="50"/>
      <c r="Y44" s="41"/>
      <c r="Z44" s="41"/>
      <c r="AA44" s="41"/>
    </row>
    <row r="45" spans="1:27" ht="17.25" customHeight="1">
      <c r="A45" s="69" t="s">
        <v>67</v>
      </c>
      <c r="B45" s="70"/>
      <c r="C45" s="71">
        <v>42840.460000000021</v>
      </c>
      <c r="D45" s="71">
        <v>147466.09999999998</v>
      </c>
      <c r="E45" s="71">
        <v>12690.340000000006</v>
      </c>
      <c r="F45" s="72">
        <v>202996.9</v>
      </c>
      <c r="G45" s="71">
        <v>159305.76999999996</v>
      </c>
      <c r="H45" s="73">
        <v>1080.287401646887</v>
      </c>
      <c r="I45" s="74">
        <v>919115</v>
      </c>
      <c r="J45" s="75">
        <v>0.22086126328043823</v>
      </c>
      <c r="K45" s="3"/>
      <c r="L45" s="3"/>
      <c r="M45" s="52"/>
      <c r="N45" s="48"/>
      <c r="O45" s="52"/>
      <c r="P45" s="48"/>
      <c r="Q45" s="38"/>
      <c r="R45" s="41"/>
      <c r="S45" s="41"/>
      <c r="T45" s="49"/>
      <c r="U45" s="41"/>
      <c r="V45" s="41"/>
      <c r="W45" s="39"/>
      <c r="X45" s="50"/>
      <c r="Y45" s="41"/>
      <c r="Z45" s="41"/>
      <c r="AA45" s="41"/>
    </row>
    <row r="46" spans="1:27" ht="17.25" customHeight="1">
      <c r="A46" s="69" t="s">
        <v>68</v>
      </c>
      <c r="B46" s="70"/>
      <c r="C46" s="71">
        <v>45445.479999999996</v>
      </c>
      <c r="D46" s="71">
        <v>151522.39000000004</v>
      </c>
      <c r="E46" s="71">
        <v>13747.159999999998</v>
      </c>
      <c r="F46" s="72">
        <v>210715.03000000006</v>
      </c>
      <c r="G46" s="71">
        <v>170688.30000000002</v>
      </c>
      <c r="H46" s="73">
        <v>1126.488963116276</v>
      </c>
      <c r="I46" s="74">
        <v>1027123</v>
      </c>
      <c r="J46" s="75">
        <v>0.2051507268360265</v>
      </c>
      <c r="K46" s="3"/>
      <c r="L46" s="3"/>
      <c r="M46" s="52"/>
      <c r="N46" s="48"/>
      <c r="O46" s="52"/>
      <c r="P46" s="48"/>
      <c r="Q46" s="38"/>
      <c r="R46" s="41"/>
      <c r="S46" s="41"/>
      <c r="T46" s="49"/>
      <c r="U46" s="41"/>
      <c r="V46" s="41"/>
      <c r="W46" s="39"/>
      <c r="X46" s="50"/>
      <c r="Y46" s="41"/>
      <c r="Z46" s="41"/>
      <c r="AA46" s="41"/>
    </row>
    <row r="47" spans="1:27" ht="17.25" customHeight="1">
      <c r="A47" s="69" t="s">
        <v>69</v>
      </c>
      <c r="B47" s="70"/>
      <c r="C47" s="71">
        <v>45310.71751748251</v>
      </c>
      <c r="D47" s="71">
        <v>153301.73799999995</v>
      </c>
      <c r="E47" s="71">
        <v>13974.822999999999</v>
      </c>
      <c r="F47" s="72">
        <v>212587.27851748248</v>
      </c>
      <c r="G47" s="71">
        <v>174040.64344110002</v>
      </c>
      <c r="H47" s="73">
        <v>1135.2816067949607</v>
      </c>
      <c r="I47" s="74">
        <v>1028970.542944945</v>
      </c>
      <c r="J47" s="75">
        <v>0.20660190903915598</v>
      </c>
      <c r="K47" s="3"/>
      <c r="L47" s="3"/>
      <c r="M47" s="52"/>
      <c r="N47" s="48"/>
      <c r="O47" s="52"/>
      <c r="P47" s="48"/>
      <c r="Q47" s="38"/>
      <c r="R47" s="41"/>
      <c r="S47" s="41"/>
      <c r="T47" s="49"/>
      <c r="U47" s="41"/>
      <c r="V47" s="41"/>
      <c r="W47" s="39"/>
      <c r="X47" s="50"/>
      <c r="Y47" s="41"/>
      <c r="Z47" s="41"/>
      <c r="AA47" s="41"/>
    </row>
    <row r="48" spans="1:27" ht="17.25" customHeight="1">
      <c r="A48" s="69" t="s">
        <v>70</v>
      </c>
      <c r="B48" s="70"/>
      <c r="C48" s="71">
        <v>46875.656823076919</v>
      </c>
      <c r="D48" s="71">
        <v>155069.57828811189</v>
      </c>
      <c r="E48" s="71">
        <v>13317.561013986018</v>
      </c>
      <c r="F48" s="72">
        <v>215262.79612517482</v>
      </c>
      <c r="G48" s="71">
        <v>168716.63866382785</v>
      </c>
      <c r="H48" s="73">
        <v>1088.0060455852943</v>
      </c>
      <c r="I48" s="74">
        <v>1062732.1000000001</v>
      </c>
      <c r="J48" s="75">
        <v>0.20255603093684174</v>
      </c>
      <c r="K48" s="3"/>
      <c r="L48" s="3"/>
      <c r="M48" s="52"/>
      <c r="N48" s="48"/>
      <c r="O48" s="52"/>
      <c r="P48" s="48"/>
      <c r="Q48" s="38"/>
      <c r="R48" s="41"/>
      <c r="S48" s="41"/>
      <c r="T48" s="49"/>
      <c r="U48" s="41"/>
      <c r="V48" s="41"/>
      <c r="W48" s="39"/>
      <c r="X48" s="50"/>
      <c r="Y48" s="41"/>
      <c r="Z48" s="41"/>
      <c r="AA48" s="41"/>
    </row>
    <row r="49" spans="1:27" ht="17.25" hidden="1" customHeight="1">
      <c r="A49" s="69" t="s">
        <v>71</v>
      </c>
      <c r="B49" s="70"/>
      <c r="C49" s="71">
        <v>49635.716965034975</v>
      </c>
      <c r="D49" s="71">
        <v>155359.13932167835</v>
      </c>
      <c r="E49" s="71">
        <v>13097.022006993006</v>
      </c>
      <c r="F49" s="72">
        <v>218091.87829370634</v>
      </c>
      <c r="G49" s="71">
        <v>172189.82734543094</v>
      </c>
      <c r="H49" s="73">
        <v>1108.3340709612446</v>
      </c>
      <c r="I49" s="74">
        <v>1057796.5333333332</v>
      </c>
      <c r="J49" s="75">
        <v>0.20617564098688643</v>
      </c>
      <c r="K49" s="3"/>
      <c r="L49" s="3"/>
      <c r="M49" s="52"/>
      <c r="N49" s="48"/>
      <c r="O49" s="52"/>
      <c r="P49" s="48"/>
      <c r="Q49" s="38"/>
      <c r="R49" s="41"/>
      <c r="S49" s="41"/>
      <c r="T49" s="49"/>
      <c r="U49" s="41"/>
      <c r="V49" s="41"/>
      <c r="W49" s="39"/>
      <c r="X49" s="50"/>
      <c r="Y49" s="41"/>
      <c r="Z49" s="41"/>
      <c r="AA49" s="41"/>
    </row>
    <row r="50" spans="1:27" ht="16.5" customHeight="1">
      <c r="A50" s="69" t="s">
        <v>72</v>
      </c>
      <c r="B50" s="70"/>
      <c r="C50" s="71">
        <v>50397.840000000011</v>
      </c>
      <c r="D50" s="71">
        <v>159740.20999999993</v>
      </c>
      <c r="E50" s="71">
        <v>14869.380000000001</v>
      </c>
      <c r="F50" s="72">
        <f t="shared" ref="F50:F58" si="5">C50+D50+E50</f>
        <v>225007.42999999993</v>
      </c>
      <c r="G50" s="71">
        <v>158302.41374999995</v>
      </c>
      <c r="H50" s="73">
        <f t="shared" ref="H50:H58" si="6">G50*1000/D50</f>
        <v>990.99915888429098</v>
      </c>
      <c r="I50" s="74">
        <v>1031752</v>
      </c>
      <c r="J50" s="75">
        <f t="shared" ref="J50:J58" si="7">IF(I50=0,0,F50/I50)</f>
        <v>0.21808286293605433</v>
      </c>
      <c r="K50" s="3"/>
      <c r="L50" s="3"/>
      <c r="M50" s="4"/>
      <c r="N50" s="4"/>
      <c r="O50" s="4"/>
      <c r="P50" s="4"/>
      <c r="Q50" s="38"/>
      <c r="R50" s="4"/>
      <c r="S50" s="4"/>
      <c r="T50" s="38"/>
      <c r="U50" s="41"/>
      <c r="V50" s="76"/>
      <c r="W50" s="51"/>
      <c r="X50" s="4"/>
      <c r="Y50" s="4"/>
      <c r="Z50" s="40"/>
      <c r="AA50" s="4"/>
    </row>
    <row r="51" spans="1:27" ht="16.5" hidden="1" customHeight="1">
      <c r="A51" s="69" t="s">
        <v>73</v>
      </c>
      <c r="B51" s="70"/>
      <c r="C51" s="77">
        <v>50849.67000000002</v>
      </c>
      <c r="D51" s="77">
        <v>162002.24999999991</v>
      </c>
      <c r="E51" s="77">
        <v>14267.81</v>
      </c>
      <c r="F51" s="72">
        <f t="shared" si="5"/>
        <v>227119.72999999992</v>
      </c>
      <c r="G51" s="77">
        <v>177865.33000000005</v>
      </c>
      <c r="H51" s="73">
        <f t="shared" si="6"/>
        <v>1097.9188869290406</v>
      </c>
      <c r="I51" s="78">
        <v>1098867</v>
      </c>
      <c r="J51" s="75">
        <f t="shared" si="7"/>
        <v>0.20668536774696111</v>
      </c>
      <c r="K51" s="3"/>
      <c r="L51" s="3"/>
      <c r="M51" s="4"/>
      <c r="N51" s="4"/>
      <c r="O51" s="4"/>
      <c r="P51" s="4"/>
      <c r="Q51" s="38"/>
      <c r="R51" s="4"/>
      <c r="S51" s="4"/>
      <c r="T51" s="38"/>
      <c r="U51" s="41"/>
      <c r="V51" s="76"/>
      <c r="W51" s="51"/>
      <c r="X51" s="4"/>
      <c r="Y51" s="4"/>
      <c r="Z51" s="40"/>
      <c r="AA51" s="4"/>
    </row>
    <row r="52" spans="1:27" ht="16.5" hidden="1" customHeight="1">
      <c r="A52" s="69" t="s">
        <v>74</v>
      </c>
      <c r="B52" s="70"/>
      <c r="C52" s="77">
        <v>53035.28</v>
      </c>
      <c r="D52" s="77">
        <v>162211.21999999997</v>
      </c>
      <c r="E52" s="77">
        <v>14333.740000000003</v>
      </c>
      <c r="F52" s="72">
        <f t="shared" si="5"/>
        <v>229580.23999999996</v>
      </c>
      <c r="G52" s="77">
        <v>177793.59999999995</v>
      </c>
      <c r="H52" s="73">
        <f t="shared" si="6"/>
        <v>1096.0622822514988</v>
      </c>
      <c r="I52" s="78">
        <v>1128028</v>
      </c>
      <c r="J52" s="75">
        <f t="shared" si="7"/>
        <v>0.20352352955777689</v>
      </c>
      <c r="K52" s="3"/>
      <c r="L52" s="3"/>
      <c r="M52" s="4"/>
      <c r="N52" s="4"/>
      <c r="O52" s="4"/>
      <c r="P52" s="4"/>
      <c r="Q52" s="38"/>
      <c r="R52" s="4"/>
      <c r="S52" s="4"/>
      <c r="T52" s="38"/>
      <c r="U52" s="41"/>
      <c r="V52" s="76"/>
      <c r="W52" s="51"/>
      <c r="X52" s="4"/>
      <c r="Y52" s="4"/>
      <c r="Z52" s="40"/>
      <c r="AA52" s="4"/>
    </row>
    <row r="53" spans="1:27" ht="16.5" hidden="1" customHeight="1">
      <c r="A53" s="69" t="s">
        <v>75</v>
      </c>
      <c r="B53" s="70"/>
      <c r="C53" s="77">
        <v>53460.659999999996</v>
      </c>
      <c r="D53" s="77">
        <v>161668.79999999999</v>
      </c>
      <c r="E53" s="77">
        <v>15220.4</v>
      </c>
      <c r="F53" s="72">
        <f t="shared" si="5"/>
        <v>230349.86</v>
      </c>
      <c r="G53" s="79">
        <v>183028.05000000002</v>
      </c>
      <c r="H53" s="73">
        <f t="shared" si="6"/>
        <v>1132.1173287610227</v>
      </c>
      <c r="I53" s="78">
        <v>1133265</v>
      </c>
      <c r="J53" s="75">
        <f t="shared" si="7"/>
        <v>0.2032621319814871</v>
      </c>
      <c r="K53" s="3"/>
      <c r="L53" s="3"/>
      <c r="M53" s="4"/>
      <c r="N53" s="4"/>
      <c r="O53" s="4"/>
      <c r="P53" s="4"/>
      <c r="Q53" s="38"/>
      <c r="R53" s="4"/>
      <c r="S53" s="4"/>
      <c r="T53" s="38"/>
      <c r="U53" s="41"/>
      <c r="V53" s="76"/>
      <c r="W53" s="51"/>
      <c r="X53" s="4"/>
      <c r="Y53" s="4"/>
      <c r="Z53" s="40"/>
      <c r="AA53" s="4"/>
    </row>
    <row r="54" spans="1:27" ht="16.5" hidden="1" customHeight="1">
      <c r="A54" s="69" t="s">
        <v>76</v>
      </c>
      <c r="B54" s="70"/>
      <c r="C54" s="77">
        <v>53585.170000000006</v>
      </c>
      <c r="D54" s="77">
        <v>164426.61000000002</v>
      </c>
      <c r="E54" s="77">
        <v>16229.02</v>
      </c>
      <c r="F54" s="72">
        <f t="shared" si="5"/>
        <v>234240.80000000002</v>
      </c>
      <c r="G54" s="80">
        <v>187637.40999999995</v>
      </c>
      <c r="H54" s="73">
        <f t="shared" si="6"/>
        <v>1141.162066164351</v>
      </c>
      <c r="I54" s="78">
        <v>1136307</v>
      </c>
      <c r="J54" s="75">
        <f t="shared" si="7"/>
        <v>0.20614217812615782</v>
      </c>
      <c r="K54" s="3"/>
      <c r="L54" s="3"/>
      <c r="M54" s="4"/>
      <c r="N54" s="4"/>
      <c r="O54" s="4"/>
      <c r="P54" s="4"/>
      <c r="Q54" s="38"/>
      <c r="R54" s="4"/>
      <c r="S54" s="4"/>
      <c r="T54" s="38"/>
      <c r="U54" s="41"/>
      <c r="V54" s="76"/>
      <c r="W54" s="51"/>
      <c r="X54" s="4"/>
      <c r="Y54" s="4"/>
      <c r="Z54" s="40"/>
      <c r="AA54" s="4"/>
    </row>
    <row r="55" spans="1:27" ht="17.25" hidden="1" customHeight="1">
      <c r="A55" s="69" t="s">
        <v>77</v>
      </c>
      <c r="B55" s="70"/>
      <c r="C55" s="77">
        <v>53258.36</v>
      </c>
      <c r="D55" s="77">
        <v>165263.74</v>
      </c>
      <c r="E55" s="77">
        <v>16465.989999999998</v>
      </c>
      <c r="F55" s="72">
        <f t="shared" si="5"/>
        <v>234988.08999999997</v>
      </c>
      <c r="G55" s="80">
        <v>183048.75200000001</v>
      </c>
      <c r="H55" s="73">
        <f t="shared" si="6"/>
        <v>1107.6159355948257</v>
      </c>
      <c r="I55" s="78">
        <v>1188961.787</v>
      </c>
      <c r="J55" s="75">
        <f t="shared" si="7"/>
        <v>0.19764141503060767</v>
      </c>
      <c r="K55" s="3"/>
      <c r="L55" s="3"/>
      <c r="M55" s="4"/>
      <c r="N55" s="4"/>
      <c r="O55" s="4"/>
      <c r="P55" s="4"/>
      <c r="Q55" s="38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69" t="s">
        <v>78</v>
      </c>
      <c r="B56" s="70"/>
      <c r="C56" s="77">
        <v>53115.510999999991</v>
      </c>
      <c r="D56" s="77">
        <v>165546.01899999994</v>
      </c>
      <c r="E56" s="77">
        <v>17333.056999999997</v>
      </c>
      <c r="F56" s="72">
        <f t="shared" si="5"/>
        <v>235994.58699999994</v>
      </c>
      <c r="G56" s="81">
        <v>180639.85599999997</v>
      </c>
      <c r="H56" s="73">
        <f t="shared" si="6"/>
        <v>1091.1760795649216</v>
      </c>
      <c r="I56" s="78">
        <v>999182</v>
      </c>
      <c r="J56" s="75">
        <f t="shared" si="7"/>
        <v>0.2361877886110838</v>
      </c>
      <c r="K56" s="3"/>
      <c r="L56" s="3"/>
      <c r="M56" s="4"/>
      <c r="N56" s="4"/>
      <c r="O56" s="4"/>
      <c r="P56" s="4"/>
      <c r="Q56" s="38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82" t="s">
        <v>79</v>
      </c>
      <c r="B57" s="70"/>
      <c r="C57" s="77">
        <v>47827.39</v>
      </c>
      <c r="D57" s="77">
        <v>166401.66999999998</v>
      </c>
      <c r="E57" s="77">
        <v>17971.13</v>
      </c>
      <c r="F57" s="72">
        <f t="shared" si="5"/>
        <v>232200.19</v>
      </c>
      <c r="G57" s="81">
        <v>177713.58</v>
      </c>
      <c r="H57" s="73">
        <f t="shared" si="6"/>
        <v>1067.979546118738</v>
      </c>
      <c r="I57" s="78">
        <v>982219</v>
      </c>
      <c r="J57" s="75">
        <f t="shared" si="7"/>
        <v>0.23640368390348793</v>
      </c>
      <c r="K57" s="3"/>
      <c r="L57" s="3"/>
      <c r="M57" s="4"/>
      <c r="N57" s="4"/>
      <c r="O57" s="4"/>
      <c r="P57" s="4"/>
      <c r="Q57" s="38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82" t="s">
        <v>80</v>
      </c>
      <c r="B58" s="70"/>
      <c r="C58" s="77">
        <v>50311.61</v>
      </c>
      <c r="D58" s="77">
        <v>165106.57</v>
      </c>
      <c r="E58" s="77">
        <v>15931.73</v>
      </c>
      <c r="F58" s="72">
        <f t="shared" si="5"/>
        <v>231349.91</v>
      </c>
      <c r="G58" s="71">
        <v>174962.26</v>
      </c>
      <c r="H58" s="73">
        <f t="shared" si="6"/>
        <v>1059.6929001674494</v>
      </c>
      <c r="I58" s="78">
        <v>975613</v>
      </c>
      <c r="J58" s="75">
        <f t="shared" si="7"/>
        <v>0.23713286928320965</v>
      </c>
      <c r="K58" s="3"/>
      <c r="L58" s="3"/>
      <c r="M58" s="4"/>
      <c r="N58" s="4"/>
      <c r="O58" s="4"/>
      <c r="P58" s="4"/>
      <c r="Q58" s="38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7.25" customHeight="1">
      <c r="A59" s="83"/>
      <c r="B59" s="83" t="s">
        <v>81</v>
      </c>
      <c r="C59" s="84"/>
      <c r="D59" s="84"/>
      <c r="E59" s="84"/>
      <c r="F59" s="84"/>
      <c r="G59" s="85"/>
      <c r="H59" s="84"/>
      <c r="I59" s="86"/>
      <c r="J59" s="86"/>
      <c r="K59" s="87"/>
      <c r="L59" s="87"/>
      <c r="M59" s="88"/>
      <c r="N59" s="88"/>
      <c r="O59" s="88"/>
      <c r="P59" s="88"/>
      <c r="Q59" s="88"/>
      <c r="R59" s="88"/>
      <c r="S59" s="88"/>
      <c r="T59" s="89"/>
      <c r="U59" s="88"/>
      <c r="V59" s="88"/>
      <c r="W59" s="88"/>
      <c r="X59" s="88"/>
      <c r="Y59" s="88"/>
      <c r="Z59" s="88"/>
      <c r="AA59" s="88"/>
    </row>
    <row r="60" spans="1:27" ht="17.25" customHeight="1">
      <c r="A60" s="83"/>
      <c r="B60" s="83" t="s">
        <v>82</v>
      </c>
      <c r="C60" s="84"/>
      <c r="D60" s="84"/>
      <c r="E60" s="84"/>
      <c r="F60" s="84"/>
      <c r="G60" s="85"/>
      <c r="H60" s="84"/>
      <c r="I60" s="86"/>
      <c r="J60" s="86"/>
      <c r="K60" s="87"/>
      <c r="L60" s="87"/>
      <c r="M60" s="88"/>
      <c r="N60" s="88"/>
      <c r="O60" s="90" t="s">
        <v>83</v>
      </c>
      <c r="P60" s="88"/>
      <c r="Q60" s="88"/>
      <c r="R60" s="88"/>
      <c r="S60" s="88"/>
      <c r="T60" s="89"/>
      <c r="U60" s="88"/>
      <c r="V60" s="88"/>
      <c r="W60" s="88"/>
      <c r="X60" s="88"/>
      <c r="Y60" s="88"/>
      <c r="Z60" s="88"/>
      <c r="AA60" s="88"/>
    </row>
    <row r="61" spans="1:27" ht="17.25" customHeight="1">
      <c r="A61" s="91"/>
      <c r="B61" s="91"/>
      <c r="C61" s="92"/>
      <c r="D61" s="92"/>
      <c r="E61" s="92"/>
      <c r="F61" s="92"/>
      <c r="G61" s="93"/>
      <c r="H61" s="92"/>
      <c r="I61" s="94"/>
      <c r="J61" s="95"/>
      <c r="K61" s="87"/>
      <c r="L61" s="87"/>
      <c r="M61" s="88"/>
      <c r="N61" s="88"/>
      <c r="O61" s="88"/>
      <c r="P61" s="88"/>
      <c r="Q61" s="88"/>
      <c r="R61" s="88"/>
      <c r="S61" s="88"/>
      <c r="T61" s="89"/>
      <c r="U61" s="88"/>
      <c r="V61" s="88"/>
      <c r="W61" s="88"/>
      <c r="X61" s="88"/>
      <c r="Y61" s="88"/>
      <c r="Z61" s="88"/>
      <c r="AA61" s="88"/>
    </row>
    <row r="62" spans="1:27" ht="17.25" customHeight="1">
      <c r="A62" s="91"/>
      <c r="B62" s="91"/>
      <c r="C62" s="92"/>
      <c r="D62" s="92"/>
      <c r="E62" s="92"/>
      <c r="F62" s="96" t="s">
        <v>84</v>
      </c>
      <c r="G62" s="93"/>
      <c r="H62" s="92"/>
      <c r="I62" s="94"/>
      <c r="J62" s="95"/>
      <c r="K62" s="87"/>
      <c r="L62" s="87"/>
      <c r="M62" s="88"/>
      <c r="N62" s="88"/>
      <c r="O62" s="88"/>
      <c r="P62" s="88"/>
      <c r="Q62" s="88"/>
      <c r="R62" s="88"/>
      <c r="S62" s="88"/>
      <c r="T62" s="89"/>
      <c r="U62" s="88"/>
      <c r="V62" s="88"/>
      <c r="W62" s="88"/>
      <c r="X62" s="88"/>
      <c r="Y62" s="88"/>
      <c r="Z62" s="88"/>
      <c r="AA62" s="88"/>
    </row>
    <row r="63" spans="1:27" ht="17.25" customHeight="1">
      <c r="A63" s="91"/>
      <c r="B63" s="91"/>
      <c r="C63" s="92"/>
      <c r="D63" s="92"/>
      <c r="E63" s="92"/>
      <c r="F63" s="92"/>
      <c r="G63" s="93"/>
      <c r="H63" s="92"/>
      <c r="I63" s="94"/>
      <c r="J63" s="95"/>
      <c r="K63" s="87"/>
      <c r="L63" s="87"/>
      <c r="M63" s="88"/>
      <c r="N63" s="88"/>
      <c r="O63" s="88"/>
      <c r="P63" s="88"/>
      <c r="Q63" s="88"/>
      <c r="R63" s="88"/>
      <c r="S63" s="88"/>
      <c r="T63" s="89"/>
      <c r="U63" s="88"/>
      <c r="V63" s="88"/>
      <c r="W63" s="88"/>
      <c r="X63" s="88"/>
      <c r="Y63" s="88"/>
      <c r="Z63" s="88"/>
      <c r="AA63" s="88"/>
    </row>
    <row r="64" spans="1:27" ht="17.25" customHeight="1">
      <c r="A64" s="91"/>
      <c r="B64" s="97" t="s">
        <v>85</v>
      </c>
      <c r="C64" s="97" t="s">
        <v>86</v>
      </c>
      <c r="D64" s="92"/>
      <c r="E64" s="92"/>
      <c r="F64" s="92"/>
      <c r="G64" s="92"/>
      <c r="H64" s="92"/>
      <c r="I64" s="94"/>
      <c r="J64" s="95"/>
      <c r="K64" s="87"/>
      <c r="L64" s="87"/>
      <c r="M64" s="88"/>
      <c r="N64" s="88"/>
      <c r="O64" s="88"/>
      <c r="P64" s="88"/>
      <c r="Q64" s="88"/>
      <c r="R64" s="88"/>
      <c r="S64" s="88"/>
      <c r="T64" s="89"/>
      <c r="U64" s="88"/>
      <c r="V64" s="88"/>
      <c r="W64" s="88"/>
      <c r="X64" s="88"/>
      <c r="Y64" s="88"/>
      <c r="Z64" s="88"/>
      <c r="AA64" s="88"/>
    </row>
    <row r="65" spans="1:27" ht="17.25" customHeight="1">
      <c r="A65" s="91"/>
      <c r="B65" s="97" t="str">
        <f t="array" aca="1" ref="B65" ca="1">RIGHT(INDIRECT("A43"),4)</f>
        <v>2024</v>
      </c>
      <c r="C65" s="98">
        <f t="array" aca="1" ref="C65" ca="1">INDIRECT("g43")</f>
        <v>139079.08999999994</v>
      </c>
      <c r="D65" s="92"/>
      <c r="E65" s="92"/>
      <c r="F65" s="92"/>
      <c r="G65" s="93"/>
      <c r="H65" s="92"/>
      <c r="I65" s="94"/>
      <c r="J65" s="95"/>
      <c r="K65" s="87"/>
      <c r="L65" s="87"/>
      <c r="M65" s="88"/>
      <c r="N65" s="88"/>
      <c r="O65" s="88"/>
      <c r="P65" s="88"/>
      <c r="Q65" s="88"/>
      <c r="R65" s="88"/>
      <c r="S65" s="88"/>
      <c r="T65" s="89"/>
      <c r="U65" s="88"/>
      <c r="V65" s="88"/>
      <c r="W65" s="88"/>
      <c r="X65" s="88"/>
      <c r="Y65" s="88"/>
      <c r="Z65" s="88"/>
      <c r="AA65" s="88"/>
    </row>
    <row r="66" spans="1:27" ht="17.25" customHeight="1">
      <c r="A66" s="91"/>
      <c r="B66" s="97" t="str">
        <f t="array" aca="1" ref="B66" ca="1">RIGHT(INDIRECT("A44"),4)</f>
        <v>2023</v>
      </c>
      <c r="C66" s="98">
        <f t="array" aca="1" ref="C66" ca="1">INDIRECT("g44")</f>
        <v>152501.03999999998</v>
      </c>
      <c r="D66" s="92"/>
      <c r="E66" s="92"/>
      <c r="F66" s="92"/>
      <c r="G66" s="93"/>
      <c r="H66" s="92"/>
      <c r="I66" s="94"/>
      <c r="J66" s="95"/>
      <c r="K66" s="87"/>
      <c r="L66" s="87"/>
      <c r="M66" s="88"/>
      <c r="N66" s="88"/>
      <c r="O66" s="88"/>
      <c r="P66" s="88"/>
      <c r="Q66" s="88"/>
      <c r="R66" s="88"/>
      <c r="S66" s="88"/>
      <c r="T66" s="89"/>
      <c r="U66" s="88"/>
      <c r="V66" s="88"/>
      <c r="W66" s="88"/>
      <c r="X66" s="88"/>
      <c r="Y66" s="88"/>
      <c r="Z66" s="88"/>
      <c r="AA66" s="88"/>
    </row>
    <row r="67" spans="1:27" ht="17.25" customHeight="1">
      <c r="A67" s="91"/>
      <c r="B67" s="97" t="str">
        <f t="array" aca="1" ref="B67" ca="1">RIGHT(INDIRECT("A45"),4)</f>
        <v>2022</v>
      </c>
      <c r="C67" s="98">
        <f t="array" aca="1" ref="C67" ca="1">INDIRECT("g45")</f>
        <v>159305.76999999996</v>
      </c>
      <c r="D67" s="92"/>
      <c r="E67" s="92"/>
      <c r="F67" s="92"/>
      <c r="G67" s="93"/>
      <c r="H67" s="92"/>
      <c r="I67" s="94"/>
      <c r="J67" s="95"/>
      <c r="K67" s="87"/>
      <c r="L67" s="87"/>
      <c r="M67" s="88"/>
      <c r="N67" s="88"/>
      <c r="O67" s="88"/>
      <c r="P67" s="88"/>
      <c r="Q67" s="88"/>
      <c r="R67" s="88"/>
      <c r="S67" s="88"/>
      <c r="T67" s="89"/>
      <c r="U67" s="88"/>
      <c r="V67" s="88"/>
      <c r="W67" s="88"/>
      <c r="X67" s="88"/>
      <c r="Y67" s="88"/>
      <c r="Z67" s="88"/>
      <c r="AA67" s="88"/>
    </row>
    <row r="68" spans="1:27" ht="17.25" customHeight="1">
      <c r="A68" s="91"/>
      <c r="B68" s="97" t="str">
        <f t="array" aca="1" ref="B68" ca="1">RIGHT(INDIRECT("A46"),4)</f>
        <v>2021</v>
      </c>
      <c r="C68" s="98">
        <f t="array" aca="1" ref="C68" ca="1">INDIRECT("g46")</f>
        <v>170688.30000000002</v>
      </c>
      <c r="D68" s="92"/>
      <c r="E68" s="92"/>
      <c r="F68" s="92"/>
      <c r="G68" s="93"/>
      <c r="H68" s="92"/>
      <c r="I68" s="94"/>
      <c r="J68" s="95"/>
      <c r="K68" s="87"/>
      <c r="L68" s="87"/>
      <c r="M68" s="88"/>
      <c r="N68" s="88"/>
      <c r="O68" s="88"/>
      <c r="P68" s="88"/>
      <c r="Q68" s="88"/>
      <c r="R68" s="88"/>
      <c r="S68" s="88"/>
      <c r="T68" s="89"/>
      <c r="U68" s="88"/>
      <c r="V68" s="88"/>
      <c r="W68" s="88"/>
      <c r="X68" s="88"/>
      <c r="Y68" s="88"/>
      <c r="Z68" s="88"/>
      <c r="AA68" s="88"/>
    </row>
    <row r="69" spans="1:27" ht="17.25" customHeight="1">
      <c r="A69" s="91"/>
      <c r="B69" s="97" t="str">
        <f t="array" aca="1" ref="B69" ca="1">RIGHT(INDIRECT("A47"),4)</f>
        <v>2020</v>
      </c>
      <c r="C69" s="98">
        <f t="array" aca="1" ref="C69" ca="1">INDIRECT("g47")</f>
        <v>174040.64344110002</v>
      </c>
      <c r="D69" s="92"/>
      <c r="E69" s="92"/>
      <c r="F69" s="92"/>
      <c r="G69" s="93"/>
      <c r="H69" s="92"/>
      <c r="I69" s="94"/>
      <c r="J69" s="95"/>
      <c r="K69" s="87"/>
      <c r="L69" s="87"/>
      <c r="M69" s="88"/>
      <c r="N69" s="88"/>
      <c r="O69" s="88"/>
      <c r="P69" s="88"/>
      <c r="Q69" s="88"/>
      <c r="R69" s="88"/>
      <c r="S69" s="88"/>
      <c r="T69" s="89"/>
      <c r="U69" s="88"/>
      <c r="V69" s="88"/>
      <c r="W69" s="88"/>
      <c r="X69" s="88"/>
      <c r="Y69" s="88"/>
      <c r="Z69" s="88"/>
      <c r="AA69" s="88"/>
    </row>
    <row r="70" spans="1:27" ht="17.25" customHeight="1">
      <c r="A70" s="91"/>
      <c r="B70" s="97" t="str">
        <f t="array" aca="1" ref="B70" ca="1">RIGHT(INDIRECT("A48"),4)</f>
        <v>2019</v>
      </c>
      <c r="C70" s="98">
        <f t="array" aca="1" ref="C70" ca="1">INDIRECT("g48")</f>
        <v>168716.63866382785</v>
      </c>
      <c r="D70" s="92"/>
      <c r="E70" s="92"/>
      <c r="F70" s="92"/>
      <c r="G70" s="93"/>
      <c r="H70" s="92"/>
      <c r="I70" s="94"/>
      <c r="J70" s="95"/>
      <c r="K70" s="87"/>
      <c r="L70" s="87"/>
      <c r="M70" s="88"/>
      <c r="N70" s="88"/>
      <c r="O70" s="88"/>
      <c r="P70" s="88"/>
      <c r="Q70" s="88"/>
      <c r="R70" s="88"/>
      <c r="S70" s="88"/>
      <c r="T70" s="89"/>
      <c r="U70" s="88"/>
      <c r="V70" s="88"/>
      <c r="W70" s="88"/>
      <c r="X70" s="88"/>
      <c r="Y70" s="88"/>
      <c r="Z70" s="88"/>
      <c r="AA70" s="88"/>
    </row>
    <row r="71" spans="1:27" ht="17.25" customHeight="1">
      <c r="A71" s="91"/>
      <c r="B71" s="97" t="str">
        <f t="array" aca="1" ref="B71" ca="1">RIGHT(INDIRECT("A49"),4)</f>
        <v>2018</v>
      </c>
      <c r="C71" s="98">
        <f t="array" aca="1" ref="C71" ca="1">INDIRECT("g49")</f>
        <v>172189.82734543094</v>
      </c>
      <c r="D71" s="92"/>
      <c r="E71" s="92"/>
      <c r="F71" s="92"/>
      <c r="G71" s="93"/>
      <c r="H71" s="92"/>
      <c r="I71" s="94"/>
      <c r="J71" s="95"/>
      <c r="K71" s="87"/>
      <c r="L71" s="87"/>
      <c r="M71" s="88"/>
      <c r="N71" s="88"/>
      <c r="O71" s="88"/>
      <c r="P71" s="88"/>
      <c r="Q71" s="88"/>
      <c r="R71" s="88"/>
      <c r="S71" s="88"/>
      <c r="T71" s="89"/>
      <c r="U71" s="88"/>
      <c r="V71" s="88"/>
      <c r="W71" s="88"/>
      <c r="X71" s="88"/>
      <c r="Y71" s="88"/>
      <c r="Z71" s="88"/>
      <c r="AA71" s="88"/>
    </row>
    <row r="72" spans="1:27" ht="17.25" customHeight="1">
      <c r="A72" s="91"/>
      <c r="B72" s="97" t="str">
        <f t="array" aca="1" ref="B72" ca="1">RIGHT(INDIRECT("A50"),4)</f>
        <v>2017</v>
      </c>
      <c r="C72" s="98">
        <f t="array" aca="1" ref="C72" ca="1">INDIRECT("g50")</f>
        <v>158302.41374999995</v>
      </c>
      <c r="D72" s="92"/>
      <c r="E72" s="92"/>
      <c r="F72" s="92"/>
      <c r="G72" s="93"/>
      <c r="H72" s="92"/>
      <c r="I72" s="94"/>
      <c r="J72" s="95"/>
      <c r="K72" s="87"/>
      <c r="L72" s="87"/>
      <c r="M72" s="88"/>
      <c r="N72" s="88"/>
      <c r="O72" s="88"/>
      <c r="P72" s="88"/>
      <c r="Q72" s="88"/>
      <c r="R72" s="88"/>
      <c r="S72" s="88"/>
      <c r="T72" s="89"/>
      <c r="U72" s="88"/>
      <c r="V72" s="88"/>
      <c r="W72" s="88"/>
      <c r="X72" s="88"/>
      <c r="Y72" s="88"/>
      <c r="Z72" s="88"/>
      <c r="AA72" s="88"/>
    </row>
    <row r="73" spans="1:27" ht="14.25" customHeight="1">
      <c r="A73" s="99"/>
      <c r="B73" s="97" t="str">
        <f t="array" aca="1" ref="B73" ca="1">RIGHT(INDIRECT("A51"),4)</f>
        <v>2016</v>
      </c>
      <c r="C73" s="98">
        <f t="array" aca="1" ref="C73" ca="1">INDIRECT("g51")</f>
        <v>177865.33000000005</v>
      </c>
      <c r="D73" s="99"/>
      <c r="E73" s="99"/>
      <c r="F73" s="99"/>
      <c r="G73" s="100"/>
      <c r="H73" s="99"/>
      <c r="I73" s="99"/>
      <c r="J73" s="101"/>
      <c r="K73" s="102"/>
      <c r="L73" s="102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</row>
    <row r="74" spans="1:27" ht="14.25" customHeight="1">
      <c r="A74" s="99"/>
      <c r="B74" s="97" t="str">
        <f t="array" aca="1" ref="B74" ca="1">RIGHT(INDIRECT("A52"),4)</f>
        <v>2015</v>
      </c>
      <c r="C74" s="98">
        <f t="array" aca="1" ref="C74" ca="1">INDIRECT("g52")</f>
        <v>177793.59999999995</v>
      </c>
      <c r="D74" s="99"/>
      <c r="E74" s="99"/>
      <c r="F74" s="99"/>
      <c r="G74" s="100"/>
      <c r="H74" s="99"/>
      <c r="I74" s="99"/>
      <c r="J74" s="101"/>
      <c r="K74" s="102"/>
      <c r="L74" s="102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</row>
    <row r="75" spans="1:27" ht="14.25" customHeight="1">
      <c r="A75" s="99"/>
      <c r="B75" s="97" t="str">
        <f t="array" aca="1" ref="B75" ca="1">RIGHT(INDIRECT("A53"),4)</f>
        <v>2014</v>
      </c>
      <c r="C75" s="98">
        <f t="array" aca="1" ref="C75" ca="1">INDIRECT("g53")</f>
        <v>183028.05000000002</v>
      </c>
      <c r="D75" s="99"/>
      <c r="E75" s="99"/>
      <c r="F75" s="99"/>
      <c r="G75" s="100"/>
      <c r="H75" s="99"/>
      <c r="I75" s="99"/>
      <c r="J75" s="101"/>
      <c r="K75" s="102"/>
      <c r="L75" s="102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</row>
    <row r="76" spans="1:27" ht="14.25" customHeight="1">
      <c r="A76" s="99"/>
      <c r="B76" s="97" t="str">
        <f t="array" aca="1" ref="B76" ca="1">RIGHT(INDIRECT("A54"),4)</f>
        <v>2013</v>
      </c>
      <c r="C76" s="98">
        <f t="array" aca="1" ref="C76" ca="1">INDIRECT("g54")</f>
        <v>187637.40999999995</v>
      </c>
      <c r="D76" s="99"/>
      <c r="E76" s="99"/>
      <c r="F76" s="99"/>
      <c r="G76" s="100"/>
      <c r="H76" s="99"/>
      <c r="I76" s="99"/>
      <c r="J76" s="101"/>
      <c r="K76" s="102"/>
      <c r="L76" s="102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</row>
    <row r="77" spans="1:27" ht="14.25" customHeight="1">
      <c r="A77" s="99"/>
      <c r="B77" s="103" t="str">
        <f t="array" aca="1" ref="B77" ca="1">RIGHT(INDIRECT("A55"),4)</f>
        <v>2012</v>
      </c>
      <c r="C77" s="98">
        <f t="array" aca="1" ref="C77" ca="1">INDIRECT("g55")</f>
        <v>183048.75200000001</v>
      </c>
      <c r="D77" s="99"/>
      <c r="E77" s="99"/>
      <c r="F77" s="99"/>
      <c r="G77" s="100"/>
      <c r="H77" s="99"/>
      <c r="I77" s="99"/>
      <c r="J77" s="101"/>
      <c r="K77" s="102"/>
      <c r="L77" s="102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</row>
    <row r="78" spans="1:27" ht="14.25" customHeight="1">
      <c r="A78" s="99"/>
      <c r="B78" s="99"/>
      <c r="C78" s="99"/>
      <c r="D78" s="99"/>
      <c r="E78" s="99"/>
      <c r="F78" s="99"/>
      <c r="G78" s="100"/>
      <c r="H78" s="99"/>
      <c r="I78" s="99"/>
      <c r="J78" s="101"/>
      <c r="K78" s="102"/>
      <c r="L78" s="102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</row>
    <row r="79" spans="1:27" ht="14.25" customHeight="1">
      <c r="A79" s="99"/>
      <c r="B79" s="99"/>
      <c r="C79" s="99"/>
      <c r="D79" s="99"/>
      <c r="E79" s="99"/>
      <c r="F79" s="99"/>
      <c r="G79" s="100"/>
      <c r="H79" s="99"/>
      <c r="I79" s="99"/>
      <c r="J79" s="101"/>
      <c r="K79" s="102"/>
      <c r="L79" s="102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</row>
    <row r="80" spans="1:27" ht="14.25" customHeight="1">
      <c r="A80" s="99"/>
      <c r="B80" s="99"/>
      <c r="C80" s="99"/>
      <c r="D80" s="99"/>
      <c r="E80" s="99"/>
      <c r="F80" s="99"/>
      <c r="G80" s="100"/>
      <c r="H80" s="99"/>
      <c r="I80" s="99"/>
      <c r="J80" s="101"/>
      <c r="K80" s="102"/>
      <c r="L80" s="102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</row>
    <row r="81" spans="1:27" ht="14.25" customHeight="1">
      <c r="A81" s="99"/>
      <c r="B81" s="99"/>
      <c r="C81" s="99"/>
      <c r="D81" s="99"/>
      <c r="E81" s="99"/>
      <c r="F81" s="99"/>
      <c r="G81" s="100"/>
      <c r="H81" s="99"/>
      <c r="I81" s="99"/>
      <c r="J81" s="101"/>
      <c r="K81" s="102"/>
      <c r="L81" s="102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</row>
    <row r="82" spans="1:27" ht="14.25" customHeight="1">
      <c r="A82" s="99"/>
      <c r="B82" s="99"/>
      <c r="C82" s="99"/>
      <c r="D82" s="99"/>
      <c r="E82" s="99"/>
      <c r="F82" s="99"/>
      <c r="G82" s="100"/>
      <c r="H82" s="99"/>
      <c r="I82" s="99"/>
      <c r="J82" s="101"/>
      <c r="K82" s="102"/>
      <c r="L82" s="102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</row>
    <row r="83" spans="1:27" ht="14.25" customHeight="1">
      <c r="A83" s="99"/>
      <c r="B83" s="99"/>
      <c r="C83" s="99"/>
      <c r="D83" s="99"/>
      <c r="E83" s="99"/>
      <c r="F83" s="99"/>
      <c r="G83" s="100"/>
      <c r="H83" s="99"/>
      <c r="I83" s="99"/>
      <c r="J83" s="101"/>
      <c r="K83" s="102"/>
      <c r="L83" s="102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</row>
    <row r="84" spans="1:27" ht="14.25" customHeight="1">
      <c r="A84" s="99"/>
      <c r="B84" s="99"/>
      <c r="C84" s="99"/>
      <c r="D84" s="99"/>
      <c r="E84" s="99"/>
      <c r="F84" s="99"/>
      <c r="G84" s="100"/>
      <c r="H84" s="99"/>
      <c r="I84" s="99"/>
      <c r="J84" s="101"/>
      <c r="K84" s="102"/>
      <c r="L84" s="102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</row>
    <row r="85" spans="1:27" ht="14.25" customHeight="1">
      <c r="A85" s="99"/>
      <c r="B85" s="99"/>
      <c r="C85" s="99"/>
      <c r="D85" s="99"/>
      <c r="E85" s="99"/>
      <c r="F85" s="99"/>
      <c r="G85" s="100"/>
      <c r="H85" s="99"/>
      <c r="I85" s="99"/>
      <c r="J85" s="101"/>
      <c r="K85" s="102"/>
      <c r="L85" s="102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</row>
    <row r="86" spans="1:27" ht="14.25" customHeight="1">
      <c r="A86" s="99"/>
      <c r="B86" s="99"/>
      <c r="C86" s="99"/>
      <c r="D86" s="99"/>
      <c r="E86" s="99"/>
      <c r="F86" s="99"/>
      <c r="G86" s="100"/>
      <c r="H86" s="99"/>
      <c r="I86" s="99"/>
      <c r="J86" s="101"/>
      <c r="K86" s="102"/>
      <c r="L86" s="102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</row>
    <row r="87" spans="1:27" ht="14.25" customHeight="1">
      <c r="A87" s="99"/>
      <c r="B87" s="99"/>
      <c r="C87" s="99"/>
      <c r="D87" s="99"/>
      <c r="E87" s="99"/>
      <c r="F87" s="99"/>
      <c r="G87" s="100"/>
      <c r="H87" s="99"/>
      <c r="I87" s="99"/>
      <c r="J87" s="101"/>
      <c r="K87" s="102"/>
      <c r="L87" s="102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</row>
    <row r="88" spans="1:27" ht="14.25" customHeight="1">
      <c r="A88" s="99"/>
      <c r="B88" s="99"/>
      <c r="C88" s="99"/>
      <c r="D88" s="99"/>
      <c r="E88" s="99"/>
      <c r="F88" s="99"/>
      <c r="G88" s="100"/>
      <c r="H88" s="99"/>
      <c r="I88" s="99"/>
      <c r="J88" s="101"/>
      <c r="K88" s="102"/>
      <c r="L88" s="102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</row>
    <row r="89" spans="1:27" ht="14.25" customHeight="1">
      <c r="A89" s="99"/>
      <c r="B89" s="99"/>
      <c r="C89" s="99"/>
      <c r="D89" s="99"/>
      <c r="E89" s="99"/>
      <c r="F89" s="99"/>
      <c r="G89" s="100"/>
      <c r="H89" s="99"/>
      <c r="I89" s="99"/>
      <c r="J89" s="101"/>
      <c r="K89" s="102"/>
      <c r="L89" s="102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</row>
    <row r="90" spans="1:27" ht="14.25" customHeight="1">
      <c r="A90" s="99"/>
      <c r="B90" s="99"/>
      <c r="C90" s="99"/>
      <c r="D90" s="99"/>
      <c r="E90" s="99"/>
      <c r="F90" s="99"/>
      <c r="G90" s="100"/>
      <c r="H90" s="99"/>
      <c r="I90" s="99"/>
      <c r="J90" s="101"/>
      <c r="K90" s="102"/>
      <c r="L90" s="102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</row>
    <row r="91" spans="1:27" ht="14.25" customHeight="1">
      <c r="A91" s="99"/>
      <c r="B91" s="99"/>
      <c r="C91" s="99"/>
      <c r="D91" s="99"/>
      <c r="E91" s="99"/>
      <c r="F91" s="99"/>
      <c r="G91" s="100"/>
      <c r="H91" s="99"/>
      <c r="I91" s="99"/>
      <c r="J91" s="101"/>
      <c r="K91" s="102"/>
      <c r="L91" s="102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</row>
    <row r="92" spans="1:27" ht="14.25" customHeight="1">
      <c r="A92" s="99"/>
      <c r="B92" s="99"/>
      <c r="C92" s="99"/>
      <c r="D92" s="99"/>
      <c r="E92" s="99"/>
      <c r="F92" s="99"/>
      <c r="G92" s="100"/>
      <c r="H92" s="99"/>
      <c r="I92" s="99"/>
      <c r="J92" s="101"/>
      <c r="K92" s="102"/>
      <c r="L92" s="102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</row>
    <row r="93" spans="1:27" ht="14.25" customHeight="1">
      <c r="A93" s="99"/>
      <c r="B93" s="99"/>
      <c r="C93" s="99"/>
      <c r="D93" s="99"/>
      <c r="E93" s="99"/>
      <c r="F93" s="99"/>
      <c r="G93" s="100"/>
      <c r="H93" s="99"/>
      <c r="I93" s="99"/>
      <c r="J93" s="101"/>
      <c r="K93" s="102"/>
      <c r="L93" s="102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</row>
    <row r="94" spans="1:27" ht="14.25" customHeight="1">
      <c r="A94" s="99"/>
      <c r="B94" s="99"/>
      <c r="C94" s="99"/>
      <c r="D94" s="99"/>
      <c r="E94" s="99"/>
      <c r="F94" s="99"/>
      <c r="G94" s="100"/>
      <c r="H94" s="99"/>
      <c r="I94" s="99"/>
      <c r="J94" s="101"/>
      <c r="K94" s="102"/>
      <c r="L94" s="102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</row>
    <row r="95" spans="1:27" ht="14.25" customHeight="1">
      <c r="A95" s="99"/>
      <c r="B95" s="99"/>
      <c r="C95" s="99"/>
      <c r="D95" s="99"/>
      <c r="E95" s="99"/>
      <c r="F95" s="99"/>
      <c r="G95" s="100"/>
      <c r="H95" s="99"/>
      <c r="I95" s="99"/>
      <c r="J95" s="101"/>
      <c r="K95" s="102"/>
      <c r="L95" s="102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</row>
    <row r="96" spans="1:27" ht="14.25" customHeight="1">
      <c r="A96" s="99"/>
      <c r="B96" s="99"/>
      <c r="C96" s="99"/>
      <c r="D96" s="99"/>
      <c r="E96" s="99"/>
      <c r="F96" s="99"/>
      <c r="G96" s="100"/>
      <c r="H96" s="99"/>
      <c r="I96" s="99"/>
      <c r="J96" s="101"/>
      <c r="K96" s="102"/>
      <c r="L96" s="102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</row>
    <row r="97" spans="1:27" ht="14.25" customHeight="1">
      <c r="A97" s="99"/>
      <c r="B97" s="99"/>
      <c r="C97" s="99"/>
      <c r="D97" s="99"/>
      <c r="E97" s="99"/>
      <c r="F97" s="99"/>
      <c r="G97" s="100"/>
      <c r="H97" s="99"/>
      <c r="I97" s="99"/>
      <c r="J97" s="101"/>
      <c r="K97" s="102"/>
      <c r="L97" s="102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</row>
    <row r="98" spans="1:27" ht="14.25" customHeight="1">
      <c r="A98" s="99"/>
      <c r="B98" s="99"/>
      <c r="C98" s="99"/>
      <c r="D98" s="99"/>
      <c r="E98" s="99"/>
      <c r="F98" s="99"/>
      <c r="G98" s="100"/>
      <c r="H98" s="99"/>
      <c r="I98" s="99"/>
      <c r="J98" s="101"/>
      <c r="K98" s="102"/>
      <c r="L98" s="102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</row>
    <row r="99" spans="1:27" ht="14.25" customHeight="1">
      <c r="A99" s="99"/>
      <c r="B99" s="99"/>
      <c r="C99" s="99"/>
      <c r="D99" s="99"/>
      <c r="E99" s="99"/>
      <c r="F99" s="99"/>
      <c r="G99" s="100"/>
      <c r="H99" s="99"/>
      <c r="I99" s="99"/>
      <c r="J99" s="101"/>
      <c r="K99" s="102"/>
      <c r="L99" s="102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</row>
    <row r="100" spans="1:27" ht="14.25" customHeight="1">
      <c r="A100" s="99"/>
      <c r="B100" s="99"/>
      <c r="C100" s="99"/>
      <c r="D100" s="99"/>
      <c r="E100" s="99"/>
      <c r="F100" s="99"/>
      <c r="G100" s="100"/>
      <c r="H100" s="99"/>
      <c r="I100" s="99"/>
      <c r="J100" s="101"/>
      <c r="K100" s="102"/>
      <c r="L100" s="102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</row>
    <row r="101" spans="1:27" ht="14.25" customHeight="1">
      <c r="A101" s="99"/>
      <c r="B101" s="99"/>
      <c r="C101" s="99"/>
      <c r="D101" s="99"/>
      <c r="E101" s="99"/>
      <c r="F101" s="99"/>
      <c r="G101" s="100"/>
      <c r="H101" s="99"/>
      <c r="I101" s="99"/>
      <c r="J101" s="101"/>
      <c r="K101" s="102"/>
      <c r="L101" s="102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</row>
    <row r="102" spans="1:27" ht="14.25" customHeight="1">
      <c r="A102" s="99"/>
      <c r="B102" s="99"/>
      <c r="C102" s="99"/>
      <c r="D102" s="99"/>
      <c r="E102" s="99"/>
      <c r="F102" s="99"/>
      <c r="G102" s="100"/>
      <c r="H102" s="99"/>
      <c r="I102" s="99"/>
      <c r="J102" s="101"/>
      <c r="K102" s="102"/>
      <c r="L102" s="102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</row>
    <row r="103" spans="1:27" ht="14.25" customHeight="1">
      <c r="A103" s="99"/>
      <c r="B103" s="99"/>
      <c r="C103" s="99"/>
      <c r="D103" s="99"/>
      <c r="E103" s="99"/>
      <c r="F103" s="99"/>
      <c r="G103" s="100"/>
      <c r="H103" s="99"/>
      <c r="I103" s="99"/>
      <c r="J103" s="101"/>
      <c r="K103" s="102"/>
      <c r="L103" s="102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</row>
    <row r="104" spans="1:27" ht="14.25" customHeight="1">
      <c r="A104" s="99"/>
      <c r="B104" s="99"/>
      <c r="C104" s="99"/>
      <c r="D104" s="99"/>
      <c r="E104" s="99"/>
      <c r="F104" s="99"/>
      <c r="G104" s="100"/>
      <c r="H104" s="99"/>
      <c r="I104" s="99"/>
      <c r="J104" s="101"/>
      <c r="K104" s="102"/>
      <c r="L104" s="102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</row>
    <row r="105" spans="1:27" ht="14.25" customHeight="1">
      <c r="A105" s="99"/>
      <c r="B105" s="99"/>
      <c r="C105" s="99"/>
      <c r="D105" s="99"/>
      <c r="E105" s="99"/>
      <c r="F105" s="99"/>
      <c r="G105" s="100"/>
      <c r="H105" s="99"/>
      <c r="I105" s="99"/>
      <c r="J105" s="101"/>
      <c r="K105" s="102"/>
      <c r="L105" s="102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</row>
    <row r="106" spans="1:27" ht="14.25" customHeight="1">
      <c r="A106" s="99"/>
      <c r="B106" s="99"/>
      <c r="C106" s="99"/>
      <c r="D106" s="99"/>
      <c r="E106" s="99"/>
      <c r="F106" s="99"/>
      <c r="G106" s="100"/>
      <c r="H106" s="99"/>
      <c r="I106" s="99"/>
      <c r="J106" s="101"/>
      <c r="K106" s="102"/>
      <c r="L106" s="102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</row>
    <row r="107" spans="1:27" ht="14.25" customHeight="1">
      <c r="A107" s="99"/>
      <c r="B107" s="99"/>
      <c r="C107" s="99"/>
      <c r="D107" s="99"/>
      <c r="E107" s="99"/>
      <c r="F107" s="99"/>
      <c r="G107" s="100"/>
      <c r="H107" s="99"/>
      <c r="I107" s="99"/>
      <c r="J107" s="101"/>
      <c r="K107" s="102"/>
      <c r="L107" s="102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</row>
    <row r="108" spans="1:27" ht="14.25" customHeight="1">
      <c r="A108" s="99"/>
      <c r="B108" s="99"/>
      <c r="C108" s="99"/>
      <c r="D108" s="99"/>
      <c r="E108" s="99"/>
      <c r="F108" s="99"/>
      <c r="G108" s="100"/>
      <c r="H108" s="99"/>
      <c r="I108" s="99"/>
      <c r="J108" s="101"/>
      <c r="K108" s="102"/>
      <c r="L108" s="102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</row>
    <row r="109" spans="1:27" ht="14.25" customHeight="1">
      <c r="A109" s="99"/>
      <c r="B109" s="99"/>
      <c r="C109" s="99"/>
      <c r="D109" s="99"/>
      <c r="E109" s="99"/>
      <c r="F109" s="99"/>
      <c r="G109" s="100"/>
      <c r="H109" s="99"/>
      <c r="I109" s="99"/>
      <c r="J109" s="101"/>
      <c r="K109" s="102"/>
      <c r="L109" s="102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</row>
    <row r="110" spans="1:27" ht="14.25" customHeight="1">
      <c r="A110" s="99"/>
      <c r="B110" s="99"/>
      <c r="C110" s="99"/>
      <c r="D110" s="99"/>
      <c r="E110" s="99"/>
      <c r="F110" s="99"/>
      <c r="G110" s="100"/>
      <c r="H110" s="99"/>
      <c r="I110" s="99"/>
      <c r="J110" s="101"/>
      <c r="K110" s="102"/>
      <c r="L110" s="102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</row>
    <row r="111" spans="1:27" ht="14.25" customHeight="1">
      <c r="A111" s="99"/>
      <c r="B111" s="99"/>
      <c r="C111" s="99"/>
      <c r="D111" s="99"/>
      <c r="E111" s="99"/>
      <c r="F111" s="99"/>
      <c r="G111" s="100"/>
      <c r="H111" s="99"/>
      <c r="I111" s="99"/>
      <c r="J111" s="101"/>
      <c r="K111" s="102"/>
      <c r="L111" s="102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</row>
    <row r="112" spans="1:27" ht="14.25" customHeight="1">
      <c r="A112" s="99"/>
      <c r="B112" s="99"/>
      <c r="C112" s="99"/>
      <c r="D112" s="99"/>
      <c r="E112" s="99"/>
      <c r="F112" s="99"/>
      <c r="G112" s="100"/>
      <c r="H112" s="99"/>
      <c r="I112" s="99"/>
      <c r="J112" s="101"/>
      <c r="K112" s="102"/>
      <c r="L112" s="102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</row>
    <row r="113" spans="1:27" ht="14.25" customHeight="1">
      <c r="A113" s="99"/>
      <c r="B113" s="99"/>
      <c r="C113" s="99"/>
      <c r="D113" s="99"/>
      <c r="E113" s="99"/>
      <c r="F113" s="99"/>
      <c r="G113" s="100"/>
      <c r="H113" s="99"/>
      <c r="I113" s="99"/>
      <c r="J113" s="101"/>
      <c r="K113" s="102"/>
      <c r="L113" s="102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</row>
    <row r="114" spans="1:27" ht="14.25" customHeight="1">
      <c r="A114" s="99"/>
      <c r="B114" s="99"/>
      <c r="C114" s="99"/>
      <c r="D114" s="99"/>
      <c r="E114" s="99"/>
      <c r="F114" s="99"/>
      <c r="G114" s="100"/>
      <c r="H114" s="99"/>
      <c r="I114" s="99"/>
      <c r="J114" s="101"/>
      <c r="K114" s="102"/>
      <c r="L114" s="102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</row>
    <row r="115" spans="1:27" ht="14.25" customHeight="1">
      <c r="A115" s="99"/>
      <c r="B115" s="99"/>
      <c r="C115" s="99"/>
      <c r="D115" s="99"/>
      <c r="E115" s="99"/>
      <c r="F115" s="99"/>
      <c r="G115" s="100"/>
      <c r="H115" s="99"/>
      <c r="I115" s="99"/>
      <c r="J115" s="101"/>
      <c r="K115" s="102"/>
      <c r="L115" s="102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</row>
    <row r="116" spans="1:27" ht="14.25" customHeight="1">
      <c r="A116" s="99"/>
      <c r="B116" s="99"/>
      <c r="C116" s="99"/>
      <c r="D116" s="99"/>
      <c r="E116" s="99"/>
      <c r="F116" s="99"/>
      <c r="G116" s="100"/>
      <c r="H116" s="99"/>
      <c r="I116" s="99"/>
      <c r="J116" s="101"/>
      <c r="K116" s="102"/>
      <c r="L116" s="102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</row>
    <row r="117" spans="1:27" ht="14.25" customHeight="1">
      <c r="A117" s="99"/>
      <c r="B117" s="99"/>
      <c r="C117" s="99"/>
      <c r="D117" s="99"/>
      <c r="E117" s="99"/>
      <c r="F117" s="99"/>
      <c r="G117" s="100"/>
      <c r="H117" s="99"/>
      <c r="I117" s="99"/>
      <c r="J117" s="101"/>
      <c r="K117" s="102"/>
      <c r="L117" s="102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</row>
    <row r="118" spans="1:27" ht="14.25" customHeight="1">
      <c r="A118" s="99"/>
      <c r="B118" s="99"/>
      <c r="C118" s="99"/>
      <c r="D118" s="99"/>
      <c r="E118" s="99"/>
      <c r="F118" s="99"/>
      <c r="G118" s="100"/>
      <c r="H118" s="99"/>
      <c r="I118" s="99"/>
      <c r="J118" s="101"/>
      <c r="K118" s="102"/>
      <c r="L118" s="102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</row>
    <row r="119" spans="1:27" ht="14.25" customHeight="1">
      <c r="A119" s="99"/>
      <c r="B119" s="99"/>
      <c r="C119" s="99"/>
      <c r="D119" s="99"/>
      <c r="E119" s="99"/>
      <c r="F119" s="99"/>
      <c r="G119" s="100"/>
      <c r="H119" s="99"/>
      <c r="I119" s="99"/>
      <c r="J119" s="101"/>
      <c r="K119" s="102"/>
      <c r="L119" s="102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</row>
    <row r="120" spans="1:27" ht="14.25" customHeight="1">
      <c r="A120" s="99"/>
      <c r="B120" s="99"/>
      <c r="C120" s="99"/>
      <c r="D120" s="99"/>
      <c r="E120" s="99"/>
      <c r="F120" s="99"/>
      <c r="G120" s="100"/>
      <c r="H120" s="99"/>
      <c r="I120" s="99"/>
      <c r="J120" s="101"/>
      <c r="K120" s="102"/>
      <c r="L120" s="102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</row>
    <row r="121" spans="1:27" ht="14.25" customHeight="1">
      <c r="A121" s="99"/>
      <c r="B121" s="99"/>
      <c r="C121" s="99"/>
      <c r="D121" s="99"/>
      <c r="E121" s="99"/>
      <c r="F121" s="99"/>
      <c r="G121" s="100"/>
      <c r="H121" s="99"/>
      <c r="I121" s="99"/>
      <c r="J121" s="101"/>
      <c r="K121" s="102"/>
      <c r="L121" s="102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</row>
    <row r="122" spans="1:27" ht="14.25" customHeight="1">
      <c r="A122" s="99"/>
      <c r="B122" s="99"/>
      <c r="C122" s="99"/>
      <c r="D122" s="99"/>
      <c r="E122" s="99"/>
      <c r="F122" s="99"/>
      <c r="G122" s="100"/>
      <c r="H122" s="99"/>
      <c r="I122" s="99"/>
      <c r="J122" s="101"/>
      <c r="K122" s="102"/>
      <c r="L122" s="102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</row>
    <row r="123" spans="1:27" ht="14.25" customHeight="1">
      <c r="A123" s="99"/>
      <c r="B123" s="99"/>
      <c r="C123" s="99"/>
      <c r="D123" s="99"/>
      <c r="E123" s="99"/>
      <c r="F123" s="99"/>
      <c r="G123" s="100"/>
      <c r="H123" s="99"/>
      <c r="I123" s="99"/>
      <c r="J123" s="101"/>
      <c r="K123" s="102"/>
      <c r="L123" s="102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</row>
    <row r="124" spans="1:27" ht="14.25" customHeight="1">
      <c r="A124" s="99"/>
      <c r="B124" s="99"/>
      <c r="C124" s="99"/>
      <c r="D124" s="99"/>
      <c r="E124" s="99"/>
      <c r="F124" s="99"/>
      <c r="G124" s="100"/>
      <c r="H124" s="99"/>
      <c r="I124" s="99"/>
      <c r="J124" s="101"/>
      <c r="K124" s="102"/>
      <c r="L124" s="102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</row>
    <row r="125" spans="1:27" ht="14.25" customHeight="1">
      <c r="A125" s="99"/>
      <c r="B125" s="99"/>
      <c r="C125" s="99"/>
      <c r="D125" s="99"/>
      <c r="E125" s="99"/>
      <c r="F125" s="99"/>
      <c r="G125" s="100"/>
      <c r="H125" s="99"/>
      <c r="I125" s="99"/>
      <c r="J125" s="101"/>
      <c r="K125" s="102"/>
      <c r="L125" s="102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</row>
    <row r="126" spans="1:27" ht="14.25" customHeight="1">
      <c r="A126" s="99"/>
      <c r="B126" s="99"/>
      <c r="C126" s="99"/>
      <c r="D126" s="99"/>
      <c r="E126" s="99"/>
      <c r="F126" s="99"/>
      <c r="G126" s="100"/>
      <c r="H126" s="99"/>
      <c r="I126" s="99"/>
      <c r="J126" s="101"/>
      <c r="K126" s="102"/>
      <c r="L126" s="102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</row>
    <row r="127" spans="1:27" ht="14.25" customHeight="1">
      <c r="A127" s="99"/>
      <c r="B127" s="99"/>
      <c r="C127" s="99"/>
      <c r="D127" s="99"/>
      <c r="E127" s="99"/>
      <c r="F127" s="99"/>
      <c r="G127" s="100"/>
      <c r="H127" s="99"/>
      <c r="I127" s="99"/>
      <c r="J127" s="101"/>
      <c r="K127" s="102"/>
      <c r="L127" s="102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</row>
    <row r="128" spans="1:27" ht="14.25" customHeight="1">
      <c r="A128" s="99"/>
      <c r="B128" s="99"/>
      <c r="C128" s="99"/>
      <c r="D128" s="99"/>
      <c r="E128" s="99"/>
      <c r="F128" s="99"/>
      <c r="G128" s="100"/>
      <c r="H128" s="99"/>
      <c r="I128" s="99"/>
      <c r="J128" s="101"/>
      <c r="K128" s="102"/>
      <c r="L128" s="102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</row>
    <row r="129" spans="1:27" ht="14.25" customHeight="1">
      <c r="A129" s="99"/>
      <c r="B129" s="99"/>
      <c r="C129" s="99"/>
      <c r="D129" s="99"/>
      <c r="E129" s="99"/>
      <c r="F129" s="99"/>
      <c r="G129" s="100"/>
      <c r="H129" s="99"/>
      <c r="I129" s="99"/>
      <c r="J129" s="101"/>
      <c r="K129" s="102"/>
      <c r="L129" s="102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</row>
    <row r="130" spans="1:27" ht="14.25" customHeight="1">
      <c r="A130" s="99"/>
      <c r="B130" s="99"/>
      <c r="C130" s="99"/>
      <c r="D130" s="99"/>
      <c r="E130" s="99"/>
      <c r="F130" s="99"/>
      <c r="G130" s="100"/>
      <c r="H130" s="99"/>
      <c r="I130" s="99"/>
      <c r="J130" s="101"/>
      <c r="K130" s="102"/>
      <c r="L130" s="102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</row>
    <row r="131" spans="1:27" ht="14.25" customHeight="1">
      <c r="A131" s="99"/>
      <c r="B131" s="99"/>
      <c r="C131" s="99"/>
      <c r="D131" s="99"/>
      <c r="E131" s="99"/>
      <c r="F131" s="99"/>
      <c r="G131" s="100"/>
      <c r="H131" s="99"/>
      <c r="I131" s="99"/>
      <c r="J131" s="101"/>
      <c r="K131" s="102"/>
      <c r="L131" s="102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</row>
    <row r="132" spans="1:27" ht="14.25" customHeight="1">
      <c r="A132" s="99"/>
      <c r="B132" s="99"/>
      <c r="C132" s="99"/>
      <c r="D132" s="99"/>
      <c r="E132" s="99"/>
      <c r="F132" s="99"/>
      <c r="G132" s="100"/>
      <c r="H132" s="99"/>
      <c r="I132" s="99"/>
      <c r="J132" s="101"/>
      <c r="K132" s="102"/>
      <c r="L132" s="102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</row>
    <row r="133" spans="1:27" ht="14.25" customHeight="1">
      <c r="A133" s="99"/>
      <c r="B133" s="99"/>
      <c r="C133" s="99"/>
      <c r="D133" s="99"/>
      <c r="E133" s="99"/>
      <c r="F133" s="99"/>
      <c r="G133" s="100"/>
      <c r="H133" s="99"/>
      <c r="I133" s="99"/>
      <c r="J133" s="101"/>
      <c r="K133" s="102"/>
      <c r="L133" s="102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</row>
    <row r="134" spans="1:27" ht="14.25" customHeight="1">
      <c r="A134" s="99"/>
      <c r="B134" s="99"/>
      <c r="C134" s="99"/>
      <c r="D134" s="99"/>
      <c r="E134" s="99"/>
      <c r="F134" s="99"/>
      <c r="G134" s="100"/>
      <c r="H134" s="99"/>
      <c r="I134" s="99"/>
      <c r="J134" s="101"/>
      <c r="K134" s="102"/>
      <c r="L134" s="102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</row>
    <row r="135" spans="1:27" ht="14.25" customHeight="1">
      <c r="A135" s="99"/>
      <c r="B135" s="99"/>
      <c r="C135" s="99"/>
      <c r="D135" s="99"/>
      <c r="E135" s="99"/>
      <c r="F135" s="99"/>
      <c r="G135" s="100"/>
      <c r="H135" s="99"/>
      <c r="I135" s="99"/>
      <c r="J135" s="101"/>
      <c r="K135" s="102"/>
      <c r="L135" s="102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</row>
    <row r="136" spans="1:27" ht="14.25" customHeight="1">
      <c r="A136" s="99"/>
      <c r="B136" s="99"/>
      <c r="C136" s="99"/>
      <c r="D136" s="99"/>
      <c r="E136" s="99"/>
      <c r="F136" s="99"/>
      <c r="G136" s="100"/>
      <c r="H136" s="99"/>
      <c r="I136" s="99"/>
      <c r="J136" s="101"/>
      <c r="K136" s="102"/>
      <c r="L136" s="102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</row>
    <row r="137" spans="1:27" ht="14.25" customHeight="1">
      <c r="A137" s="99"/>
      <c r="B137" s="99"/>
      <c r="C137" s="99"/>
      <c r="D137" s="99"/>
      <c r="E137" s="99"/>
      <c r="F137" s="99"/>
      <c r="G137" s="100"/>
      <c r="H137" s="99"/>
      <c r="I137" s="99"/>
      <c r="J137" s="101"/>
      <c r="K137" s="102"/>
      <c r="L137" s="102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</row>
    <row r="138" spans="1:27" ht="14.25" customHeight="1">
      <c r="A138" s="99"/>
      <c r="B138" s="99"/>
      <c r="C138" s="99"/>
      <c r="D138" s="99"/>
      <c r="E138" s="99"/>
      <c r="F138" s="99"/>
      <c r="G138" s="100"/>
      <c r="H138" s="99"/>
      <c r="I138" s="99"/>
      <c r="J138" s="101"/>
      <c r="K138" s="102"/>
      <c r="L138" s="102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</row>
    <row r="139" spans="1:27" ht="14.25" customHeight="1">
      <c r="A139" s="99"/>
      <c r="B139" s="99"/>
      <c r="C139" s="99"/>
      <c r="D139" s="99"/>
      <c r="E139" s="99"/>
      <c r="F139" s="99"/>
      <c r="G139" s="100"/>
      <c r="H139" s="99"/>
      <c r="I139" s="99"/>
      <c r="J139" s="101"/>
      <c r="K139" s="102"/>
      <c r="L139" s="102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</row>
    <row r="140" spans="1:27" ht="14.25" customHeight="1">
      <c r="A140" s="99"/>
      <c r="B140" s="99"/>
      <c r="C140" s="99"/>
      <c r="D140" s="99"/>
      <c r="E140" s="99"/>
      <c r="F140" s="99"/>
      <c r="G140" s="100"/>
      <c r="H140" s="99"/>
      <c r="I140" s="99"/>
      <c r="J140" s="101"/>
      <c r="K140" s="102"/>
      <c r="L140" s="102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</row>
    <row r="141" spans="1:27" ht="14.25" customHeight="1">
      <c r="A141" s="99"/>
      <c r="B141" s="99"/>
      <c r="C141" s="99"/>
      <c r="D141" s="99"/>
      <c r="E141" s="99"/>
      <c r="F141" s="99"/>
      <c r="G141" s="100"/>
      <c r="H141" s="99"/>
      <c r="I141" s="99"/>
      <c r="J141" s="101"/>
      <c r="K141" s="102"/>
      <c r="L141" s="102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</row>
    <row r="142" spans="1:27" ht="14.25" customHeight="1">
      <c r="A142" s="99"/>
      <c r="B142" s="99"/>
      <c r="C142" s="99"/>
      <c r="D142" s="99"/>
      <c r="E142" s="99"/>
      <c r="F142" s="99"/>
      <c r="G142" s="100"/>
      <c r="H142" s="99"/>
      <c r="I142" s="99"/>
      <c r="J142" s="101"/>
      <c r="K142" s="102"/>
      <c r="L142" s="102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</row>
    <row r="143" spans="1:27" ht="14.25" customHeight="1">
      <c r="A143" s="99"/>
      <c r="B143" s="99"/>
      <c r="C143" s="99"/>
      <c r="D143" s="99"/>
      <c r="E143" s="99"/>
      <c r="F143" s="99"/>
      <c r="G143" s="100"/>
      <c r="H143" s="99"/>
      <c r="I143" s="99"/>
      <c r="J143" s="101"/>
      <c r="K143" s="102"/>
      <c r="L143" s="102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</row>
    <row r="144" spans="1:27" ht="14.25" customHeight="1">
      <c r="A144" s="99"/>
      <c r="B144" s="99"/>
      <c r="C144" s="99"/>
      <c r="D144" s="99"/>
      <c r="E144" s="99"/>
      <c r="F144" s="99"/>
      <c r="G144" s="100"/>
      <c r="H144" s="99"/>
      <c r="I144" s="99"/>
      <c r="J144" s="101"/>
      <c r="K144" s="102"/>
      <c r="L144" s="102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</row>
    <row r="145" spans="1:27" ht="14.25" customHeight="1">
      <c r="A145" s="99"/>
      <c r="B145" s="99"/>
      <c r="C145" s="99"/>
      <c r="D145" s="99"/>
      <c r="E145" s="99"/>
      <c r="F145" s="99"/>
      <c r="G145" s="100"/>
      <c r="H145" s="99"/>
      <c r="I145" s="99"/>
      <c r="J145" s="101"/>
      <c r="K145" s="102"/>
      <c r="L145" s="102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</row>
    <row r="146" spans="1:27" ht="14.25" customHeight="1">
      <c r="A146" s="99"/>
      <c r="B146" s="99"/>
      <c r="C146" s="99"/>
      <c r="D146" s="99"/>
      <c r="E146" s="99"/>
      <c r="F146" s="99"/>
      <c r="G146" s="100"/>
      <c r="H146" s="99"/>
      <c r="I146" s="99"/>
      <c r="J146" s="101"/>
      <c r="K146" s="102"/>
      <c r="L146" s="102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</row>
    <row r="147" spans="1:27" ht="14.25" customHeight="1">
      <c r="A147" s="99"/>
      <c r="B147" s="99"/>
      <c r="C147" s="99"/>
      <c r="D147" s="99"/>
      <c r="E147" s="99"/>
      <c r="F147" s="99"/>
      <c r="G147" s="100"/>
      <c r="H147" s="99"/>
      <c r="I147" s="99"/>
      <c r="J147" s="101"/>
      <c r="K147" s="102"/>
      <c r="L147" s="102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</row>
    <row r="148" spans="1:27" ht="14.25" customHeight="1">
      <c r="A148" s="99"/>
      <c r="B148" s="99"/>
      <c r="C148" s="99"/>
      <c r="D148" s="99"/>
      <c r="E148" s="99"/>
      <c r="F148" s="99"/>
      <c r="G148" s="100"/>
      <c r="H148" s="99"/>
      <c r="I148" s="99"/>
      <c r="J148" s="101"/>
      <c r="K148" s="102"/>
      <c r="L148" s="102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</row>
    <row r="149" spans="1:27" ht="14.25" customHeight="1">
      <c r="A149" s="99"/>
      <c r="B149" s="99"/>
      <c r="C149" s="99"/>
      <c r="D149" s="99"/>
      <c r="E149" s="99"/>
      <c r="F149" s="99"/>
      <c r="G149" s="100"/>
      <c r="H149" s="99"/>
      <c r="I149" s="99"/>
      <c r="J149" s="101"/>
      <c r="K149" s="102"/>
      <c r="L149" s="102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</row>
    <row r="150" spans="1:27" ht="14.25" customHeight="1">
      <c r="A150" s="99"/>
      <c r="B150" s="99"/>
      <c r="C150" s="99"/>
      <c r="D150" s="99"/>
      <c r="E150" s="99"/>
      <c r="F150" s="99"/>
      <c r="G150" s="100"/>
      <c r="H150" s="99"/>
      <c r="I150" s="99"/>
      <c r="J150" s="101"/>
      <c r="K150" s="102"/>
      <c r="L150" s="102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</row>
    <row r="151" spans="1:27" ht="14.25" customHeight="1">
      <c r="A151" s="99"/>
      <c r="B151" s="99"/>
      <c r="C151" s="99"/>
      <c r="D151" s="99"/>
      <c r="E151" s="99"/>
      <c r="F151" s="99"/>
      <c r="G151" s="100"/>
      <c r="H151" s="99"/>
      <c r="I151" s="99"/>
      <c r="J151" s="101"/>
      <c r="K151" s="102"/>
      <c r="L151" s="102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</row>
    <row r="152" spans="1:27" ht="14.25" customHeight="1">
      <c r="A152" s="99"/>
      <c r="B152" s="99"/>
      <c r="C152" s="99"/>
      <c r="D152" s="99"/>
      <c r="E152" s="99"/>
      <c r="F152" s="99"/>
      <c r="G152" s="100"/>
      <c r="H152" s="99"/>
      <c r="I152" s="99"/>
      <c r="J152" s="101"/>
      <c r="K152" s="102"/>
      <c r="L152" s="102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</row>
    <row r="153" spans="1:27" ht="14.25" customHeight="1">
      <c r="A153" s="99"/>
      <c r="B153" s="99"/>
      <c r="C153" s="99"/>
      <c r="D153" s="99"/>
      <c r="E153" s="99"/>
      <c r="F153" s="99"/>
      <c r="G153" s="100"/>
      <c r="H153" s="99"/>
      <c r="I153" s="99"/>
      <c r="J153" s="101"/>
      <c r="K153" s="102"/>
      <c r="L153" s="102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</row>
    <row r="154" spans="1:27" ht="14.25" customHeight="1">
      <c r="A154" s="99"/>
      <c r="B154" s="99"/>
      <c r="C154" s="99"/>
      <c r="D154" s="99"/>
      <c r="E154" s="99"/>
      <c r="F154" s="99"/>
      <c r="G154" s="100"/>
      <c r="H154" s="99"/>
      <c r="I154" s="99"/>
      <c r="J154" s="101"/>
      <c r="K154" s="102"/>
      <c r="L154" s="102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</row>
    <row r="155" spans="1:27" ht="14.25" customHeight="1">
      <c r="A155" s="99"/>
      <c r="B155" s="99"/>
      <c r="C155" s="99"/>
      <c r="D155" s="99"/>
      <c r="E155" s="99"/>
      <c r="F155" s="99"/>
      <c r="G155" s="100"/>
      <c r="H155" s="99"/>
      <c r="I155" s="99"/>
      <c r="J155" s="101"/>
      <c r="K155" s="102"/>
      <c r="L155" s="102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</row>
    <row r="156" spans="1:27" ht="14.25" customHeight="1">
      <c r="A156" s="99"/>
      <c r="B156" s="99"/>
      <c r="C156" s="99"/>
      <c r="D156" s="99"/>
      <c r="E156" s="99"/>
      <c r="F156" s="99"/>
      <c r="G156" s="100"/>
      <c r="H156" s="99"/>
      <c r="I156" s="99"/>
      <c r="J156" s="101"/>
      <c r="K156" s="102"/>
      <c r="L156" s="102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</row>
    <row r="157" spans="1:27" ht="14.25" customHeight="1">
      <c r="A157" s="99"/>
      <c r="B157" s="99"/>
      <c r="C157" s="99"/>
      <c r="D157" s="99"/>
      <c r="E157" s="99"/>
      <c r="F157" s="99"/>
      <c r="G157" s="100"/>
      <c r="H157" s="99"/>
      <c r="I157" s="99"/>
      <c r="J157" s="101"/>
      <c r="K157" s="102"/>
      <c r="L157" s="102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</row>
    <row r="158" spans="1:27" ht="14.25" customHeight="1">
      <c r="A158" s="99"/>
      <c r="B158" s="99"/>
      <c r="C158" s="99"/>
      <c r="D158" s="99"/>
      <c r="E158" s="99"/>
      <c r="F158" s="99"/>
      <c r="G158" s="100"/>
      <c r="H158" s="99"/>
      <c r="I158" s="99"/>
      <c r="J158" s="101"/>
      <c r="K158" s="102"/>
      <c r="L158" s="102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</row>
    <row r="159" spans="1:27" ht="14.25" customHeight="1">
      <c r="A159" s="99"/>
      <c r="B159" s="99"/>
      <c r="C159" s="99"/>
      <c r="D159" s="99"/>
      <c r="E159" s="99"/>
      <c r="F159" s="99"/>
      <c r="G159" s="100"/>
      <c r="H159" s="99"/>
      <c r="I159" s="99"/>
      <c r="J159" s="101"/>
      <c r="K159" s="102"/>
      <c r="L159" s="102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</row>
    <row r="160" spans="1:27" ht="14.25" customHeight="1">
      <c r="A160" s="99"/>
      <c r="B160" s="99"/>
      <c r="C160" s="99"/>
      <c r="D160" s="99"/>
      <c r="E160" s="99"/>
      <c r="F160" s="99"/>
      <c r="G160" s="100"/>
      <c r="H160" s="99"/>
      <c r="I160" s="99"/>
      <c r="J160" s="101"/>
      <c r="K160" s="102"/>
      <c r="L160" s="102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</row>
    <row r="161" spans="1:27" ht="14.25" customHeight="1">
      <c r="A161" s="99"/>
      <c r="B161" s="99"/>
      <c r="C161" s="99"/>
      <c r="D161" s="99"/>
      <c r="E161" s="99"/>
      <c r="F161" s="99"/>
      <c r="G161" s="100"/>
      <c r="H161" s="99"/>
      <c r="I161" s="99"/>
      <c r="J161" s="101"/>
      <c r="K161" s="102"/>
      <c r="L161" s="102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</row>
    <row r="162" spans="1:27" ht="14.25" customHeight="1">
      <c r="A162" s="99"/>
      <c r="B162" s="99"/>
      <c r="C162" s="99"/>
      <c r="D162" s="99"/>
      <c r="E162" s="99"/>
      <c r="F162" s="99"/>
      <c r="G162" s="100"/>
      <c r="H162" s="99"/>
      <c r="I162" s="99"/>
      <c r="J162" s="101"/>
      <c r="K162" s="102"/>
      <c r="L162" s="102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</row>
    <row r="163" spans="1:27" ht="14.25" customHeight="1">
      <c r="A163" s="99"/>
      <c r="B163" s="99"/>
      <c r="C163" s="99"/>
      <c r="D163" s="99"/>
      <c r="E163" s="99"/>
      <c r="F163" s="99"/>
      <c r="G163" s="100"/>
      <c r="H163" s="99"/>
      <c r="I163" s="99"/>
      <c r="J163" s="101"/>
      <c r="K163" s="102"/>
      <c r="L163" s="102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</row>
    <row r="164" spans="1:27" ht="14.25" customHeight="1">
      <c r="A164" s="99"/>
      <c r="B164" s="99"/>
      <c r="C164" s="99"/>
      <c r="D164" s="99"/>
      <c r="E164" s="99"/>
      <c r="F164" s="99"/>
      <c r="G164" s="100"/>
      <c r="H164" s="99"/>
      <c r="I164" s="99"/>
      <c r="J164" s="101"/>
      <c r="K164" s="102"/>
      <c r="L164" s="102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</row>
    <row r="165" spans="1:27" ht="14.25" customHeight="1">
      <c r="A165" s="99"/>
      <c r="B165" s="99"/>
      <c r="C165" s="99"/>
      <c r="D165" s="99"/>
      <c r="E165" s="99"/>
      <c r="F165" s="99"/>
      <c r="G165" s="100"/>
      <c r="H165" s="99"/>
      <c r="I165" s="99"/>
      <c r="J165" s="101"/>
      <c r="K165" s="102"/>
      <c r="L165" s="102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</row>
    <row r="166" spans="1:27" ht="14.25" customHeight="1">
      <c r="A166" s="99"/>
      <c r="B166" s="99"/>
      <c r="C166" s="99"/>
      <c r="D166" s="99"/>
      <c r="E166" s="99"/>
      <c r="F166" s="99"/>
      <c r="G166" s="100"/>
      <c r="H166" s="99"/>
      <c r="I166" s="99"/>
      <c r="J166" s="101"/>
      <c r="K166" s="102"/>
      <c r="L166" s="102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</row>
    <row r="167" spans="1:27" ht="14.25" customHeight="1">
      <c r="A167" s="99"/>
      <c r="B167" s="99"/>
      <c r="C167" s="99"/>
      <c r="D167" s="99"/>
      <c r="E167" s="99"/>
      <c r="F167" s="99"/>
      <c r="G167" s="100"/>
      <c r="H167" s="99"/>
      <c r="I167" s="99"/>
      <c r="J167" s="101"/>
      <c r="K167" s="102"/>
      <c r="L167" s="102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</row>
    <row r="168" spans="1:27" ht="14.25" customHeight="1">
      <c r="A168" s="99"/>
      <c r="B168" s="99"/>
      <c r="C168" s="99"/>
      <c r="D168" s="99"/>
      <c r="E168" s="99"/>
      <c r="F168" s="99"/>
      <c r="G168" s="100"/>
      <c r="H168" s="99"/>
      <c r="I168" s="99"/>
      <c r="J168" s="101"/>
      <c r="K168" s="102"/>
      <c r="L168" s="102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</row>
    <row r="169" spans="1:27" ht="14.25" customHeight="1">
      <c r="A169" s="99"/>
      <c r="B169" s="99"/>
      <c r="C169" s="99"/>
      <c r="D169" s="99"/>
      <c r="E169" s="99"/>
      <c r="F169" s="99"/>
      <c r="G169" s="100"/>
      <c r="H169" s="99"/>
      <c r="I169" s="99"/>
      <c r="J169" s="101"/>
      <c r="K169" s="102"/>
      <c r="L169" s="102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</row>
    <row r="170" spans="1:27" ht="14.25" customHeight="1">
      <c r="A170" s="99"/>
      <c r="B170" s="99"/>
      <c r="C170" s="99"/>
      <c r="D170" s="99"/>
      <c r="E170" s="99"/>
      <c r="F170" s="99"/>
      <c r="G170" s="100"/>
      <c r="H170" s="99"/>
      <c r="I170" s="99"/>
      <c r="J170" s="101"/>
      <c r="K170" s="102"/>
      <c r="L170" s="102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</row>
    <row r="171" spans="1:27" ht="14.25" customHeight="1">
      <c r="A171" s="99"/>
      <c r="B171" s="99"/>
      <c r="C171" s="99"/>
      <c r="D171" s="99"/>
      <c r="E171" s="99"/>
      <c r="F171" s="99"/>
      <c r="G171" s="100"/>
      <c r="H171" s="99"/>
      <c r="I171" s="99"/>
      <c r="J171" s="101"/>
      <c r="K171" s="102"/>
      <c r="L171" s="102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</row>
    <row r="172" spans="1:27" ht="14.25" customHeight="1">
      <c r="A172" s="99"/>
      <c r="B172" s="99"/>
      <c r="C172" s="99"/>
      <c r="D172" s="99"/>
      <c r="E172" s="99"/>
      <c r="F172" s="99"/>
      <c r="G172" s="100"/>
      <c r="H172" s="99"/>
      <c r="I172" s="99"/>
      <c r="J172" s="101"/>
      <c r="K172" s="102"/>
      <c r="L172" s="102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</row>
    <row r="173" spans="1:27" ht="14.25" customHeight="1">
      <c r="A173" s="99"/>
      <c r="B173" s="99"/>
      <c r="C173" s="99"/>
      <c r="D173" s="99"/>
      <c r="E173" s="99"/>
      <c r="F173" s="99"/>
      <c r="G173" s="100"/>
      <c r="H173" s="99"/>
      <c r="I173" s="99"/>
      <c r="J173" s="101"/>
      <c r="K173" s="102"/>
      <c r="L173" s="102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</row>
    <row r="174" spans="1:27" ht="14.25" customHeight="1">
      <c r="A174" s="99"/>
      <c r="B174" s="99"/>
      <c r="C174" s="99"/>
      <c r="D174" s="99"/>
      <c r="E174" s="99"/>
      <c r="F174" s="99"/>
      <c r="G174" s="100"/>
      <c r="H174" s="99"/>
      <c r="I174" s="99"/>
      <c r="J174" s="101"/>
      <c r="K174" s="102"/>
      <c r="L174" s="102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</row>
    <row r="175" spans="1:27" ht="14.25" customHeight="1">
      <c r="A175" s="99"/>
      <c r="B175" s="99"/>
      <c r="C175" s="99"/>
      <c r="D175" s="99"/>
      <c r="E175" s="99"/>
      <c r="F175" s="99"/>
      <c r="G175" s="100"/>
      <c r="H175" s="99"/>
      <c r="I175" s="99"/>
      <c r="J175" s="101"/>
      <c r="K175" s="102"/>
      <c r="L175" s="102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</row>
    <row r="176" spans="1:27" ht="14.25" customHeight="1">
      <c r="A176" s="99"/>
      <c r="B176" s="99"/>
      <c r="C176" s="99"/>
      <c r="D176" s="99"/>
      <c r="E176" s="99"/>
      <c r="F176" s="99"/>
      <c r="G176" s="100"/>
      <c r="H176" s="99"/>
      <c r="I176" s="99"/>
      <c r="J176" s="101"/>
      <c r="K176" s="102"/>
      <c r="L176" s="102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</row>
    <row r="177" spans="1:27" ht="14.25" customHeight="1">
      <c r="A177" s="99"/>
      <c r="B177" s="99"/>
      <c r="C177" s="99"/>
      <c r="D177" s="99"/>
      <c r="E177" s="99"/>
      <c r="F177" s="99"/>
      <c r="G177" s="100"/>
      <c r="H177" s="99"/>
      <c r="I177" s="99"/>
      <c r="J177" s="101"/>
      <c r="K177" s="102"/>
      <c r="L177" s="102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</row>
    <row r="178" spans="1:27" ht="14.25" customHeight="1">
      <c r="A178" s="99"/>
      <c r="B178" s="99"/>
      <c r="C178" s="99"/>
      <c r="D178" s="99"/>
      <c r="E178" s="99"/>
      <c r="F178" s="99"/>
      <c r="G178" s="100"/>
      <c r="H178" s="99"/>
      <c r="I178" s="99"/>
      <c r="J178" s="101"/>
      <c r="K178" s="102"/>
      <c r="L178" s="102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</row>
    <row r="179" spans="1:27" ht="14.25" customHeight="1">
      <c r="A179" s="99"/>
      <c r="B179" s="99"/>
      <c r="C179" s="99"/>
      <c r="D179" s="99"/>
      <c r="E179" s="99"/>
      <c r="F179" s="99"/>
      <c r="G179" s="100"/>
      <c r="H179" s="99"/>
      <c r="I179" s="99"/>
      <c r="J179" s="101"/>
      <c r="K179" s="102"/>
      <c r="L179" s="102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</row>
    <row r="180" spans="1:27" ht="14.25" customHeight="1">
      <c r="A180" s="99"/>
      <c r="B180" s="99"/>
      <c r="C180" s="99"/>
      <c r="D180" s="99"/>
      <c r="E180" s="99"/>
      <c r="F180" s="99"/>
      <c r="G180" s="100"/>
      <c r="H180" s="99"/>
      <c r="I180" s="99"/>
      <c r="J180" s="101"/>
      <c r="K180" s="102"/>
      <c r="L180" s="102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</row>
    <row r="181" spans="1:27" ht="14.25" customHeight="1">
      <c r="A181" s="99"/>
      <c r="B181" s="99"/>
      <c r="C181" s="99"/>
      <c r="D181" s="99"/>
      <c r="E181" s="99"/>
      <c r="F181" s="99"/>
      <c r="G181" s="100"/>
      <c r="H181" s="99"/>
      <c r="I181" s="99"/>
      <c r="J181" s="101"/>
      <c r="K181" s="102"/>
      <c r="L181" s="102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</row>
    <row r="182" spans="1:27" ht="14.25" customHeight="1">
      <c r="A182" s="99"/>
      <c r="B182" s="99"/>
      <c r="C182" s="99"/>
      <c r="D182" s="99"/>
      <c r="E182" s="99"/>
      <c r="F182" s="99"/>
      <c r="G182" s="100"/>
      <c r="H182" s="99"/>
      <c r="I182" s="99"/>
      <c r="J182" s="101"/>
      <c r="K182" s="102"/>
      <c r="L182" s="102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</row>
    <row r="183" spans="1:27" ht="14.25" customHeight="1">
      <c r="A183" s="99"/>
      <c r="B183" s="99"/>
      <c r="C183" s="99"/>
      <c r="D183" s="99"/>
      <c r="E183" s="99"/>
      <c r="F183" s="99"/>
      <c r="G183" s="100"/>
      <c r="H183" s="99"/>
      <c r="I183" s="99"/>
      <c r="J183" s="101"/>
      <c r="K183" s="102"/>
      <c r="L183" s="102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</row>
    <row r="184" spans="1:27" ht="14.25" customHeight="1">
      <c r="A184" s="99"/>
      <c r="B184" s="99"/>
      <c r="C184" s="99"/>
      <c r="D184" s="99"/>
      <c r="E184" s="99"/>
      <c r="F184" s="99"/>
      <c r="G184" s="100"/>
      <c r="H184" s="99"/>
      <c r="I184" s="99"/>
      <c r="J184" s="101"/>
      <c r="K184" s="102"/>
      <c r="L184" s="102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</row>
    <row r="185" spans="1:27" ht="14.25" customHeight="1">
      <c r="A185" s="99"/>
      <c r="B185" s="99"/>
      <c r="C185" s="99"/>
      <c r="D185" s="99"/>
      <c r="E185" s="99"/>
      <c r="F185" s="99"/>
      <c r="G185" s="100"/>
      <c r="H185" s="99"/>
      <c r="I185" s="99"/>
      <c r="J185" s="101"/>
      <c r="K185" s="102"/>
      <c r="L185" s="102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</row>
    <row r="186" spans="1:27" ht="14.25" customHeight="1">
      <c r="A186" s="99"/>
      <c r="B186" s="99"/>
      <c r="C186" s="99"/>
      <c r="D186" s="99"/>
      <c r="E186" s="99"/>
      <c r="F186" s="99"/>
      <c r="G186" s="100"/>
      <c r="H186" s="99"/>
      <c r="I186" s="99"/>
      <c r="J186" s="101"/>
      <c r="K186" s="102"/>
      <c r="L186" s="102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</row>
    <row r="187" spans="1:27" ht="14.25" customHeight="1">
      <c r="A187" s="99"/>
      <c r="B187" s="99"/>
      <c r="C187" s="99"/>
      <c r="D187" s="99"/>
      <c r="E187" s="99"/>
      <c r="F187" s="99"/>
      <c r="G187" s="100"/>
      <c r="H187" s="99"/>
      <c r="I187" s="99"/>
      <c r="J187" s="101"/>
      <c r="K187" s="102"/>
      <c r="L187" s="102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</row>
    <row r="188" spans="1:27" ht="14.25" customHeight="1">
      <c r="A188" s="99"/>
      <c r="B188" s="99"/>
      <c r="C188" s="99"/>
      <c r="D188" s="99"/>
      <c r="E188" s="99"/>
      <c r="F188" s="99"/>
      <c r="G188" s="100"/>
      <c r="H188" s="99"/>
      <c r="I188" s="99"/>
      <c r="J188" s="101"/>
      <c r="K188" s="102"/>
      <c r="L188" s="102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</row>
    <row r="189" spans="1:27" ht="14.25" customHeight="1">
      <c r="A189" s="99"/>
      <c r="B189" s="99"/>
      <c r="C189" s="99"/>
      <c r="D189" s="99"/>
      <c r="E189" s="99"/>
      <c r="F189" s="99"/>
      <c r="G189" s="100"/>
      <c r="H189" s="99"/>
      <c r="I189" s="99"/>
      <c r="J189" s="101"/>
      <c r="K189" s="102"/>
      <c r="L189" s="102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</row>
    <row r="190" spans="1:27" ht="14.25" customHeight="1">
      <c r="A190" s="99"/>
      <c r="B190" s="99"/>
      <c r="C190" s="99"/>
      <c r="D190" s="99"/>
      <c r="E190" s="99"/>
      <c r="F190" s="99"/>
      <c r="G190" s="100"/>
      <c r="H190" s="99"/>
      <c r="I190" s="99"/>
      <c r="J190" s="101"/>
      <c r="K190" s="102"/>
      <c r="L190" s="102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</row>
    <row r="191" spans="1:27" ht="14.25" customHeight="1">
      <c r="A191" s="99"/>
      <c r="B191" s="99"/>
      <c r="C191" s="99"/>
      <c r="D191" s="99"/>
      <c r="E191" s="99"/>
      <c r="F191" s="99"/>
      <c r="G191" s="100"/>
      <c r="H191" s="99"/>
      <c r="I191" s="99"/>
      <c r="J191" s="101"/>
      <c r="K191" s="102"/>
      <c r="L191" s="102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</row>
    <row r="192" spans="1:27" ht="14.25" customHeight="1">
      <c r="A192" s="99"/>
      <c r="B192" s="99"/>
      <c r="C192" s="99"/>
      <c r="D192" s="99"/>
      <c r="E192" s="99"/>
      <c r="F192" s="99"/>
      <c r="G192" s="100"/>
      <c r="H192" s="99"/>
      <c r="I192" s="99"/>
      <c r="J192" s="101"/>
      <c r="K192" s="102"/>
      <c r="L192" s="102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</row>
    <row r="193" spans="1:27" ht="14.25" customHeight="1">
      <c r="A193" s="99"/>
      <c r="B193" s="99"/>
      <c r="C193" s="99"/>
      <c r="D193" s="99"/>
      <c r="E193" s="99"/>
      <c r="F193" s="99"/>
      <c r="G193" s="100"/>
      <c r="H193" s="99"/>
      <c r="I193" s="99"/>
      <c r="J193" s="101"/>
      <c r="K193" s="102"/>
      <c r="L193" s="102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</row>
    <row r="194" spans="1:27" ht="14.25" customHeight="1">
      <c r="A194" s="99"/>
      <c r="B194" s="99"/>
      <c r="C194" s="99"/>
      <c r="D194" s="99"/>
      <c r="E194" s="99"/>
      <c r="F194" s="99"/>
      <c r="G194" s="100"/>
      <c r="H194" s="99"/>
      <c r="I194" s="99"/>
      <c r="J194" s="101"/>
      <c r="K194" s="102"/>
      <c r="L194" s="102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</row>
    <row r="195" spans="1:27" ht="14.25" customHeight="1">
      <c r="A195" s="99"/>
      <c r="B195" s="99"/>
      <c r="C195" s="99"/>
      <c r="D195" s="99"/>
      <c r="E195" s="99"/>
      <c r="F195" s="99"/>
      <c r="G195" s="100"/>
      <c r="H195" s="99"/>
      <c r="I195" s="99"/>
      <c r="J195" s="101"/>
      <c r="K195" s="102"/>
      <c r="L195" s="102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</row>
    <row r="196" spans="1:27" ht="14.25" customHeight="1">
      <c r="A196" s="99"/>
      <c r="B196" s="99"/>
      <c r="C196" s="99"/>
      <c r="D196" s="99"/>
      <c r="E196" s="99"/>
      <c r="F196" s="99"/>
      <c r="G196" s="100"/>
      <c r="H196" s="99"/>
      <c r="I196" s="99"/>
      <c r="J196" s="101"/>
      <c r="K196" s="102"/>
      <c r="L196" s="102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</row>
    <row r="197" spans="1:27" ht="14.25" customHeight="1">
      <c r="A197" s="99"/>
      <c r="B197" s="99"/>
      <c r="C197" s="99"/>
      <c r="D197" s="99"/>
      <c r="E197" s="99"/>
      <c r="F197" s="99"/>
      <c r="G197" s="100"/>
      <c r="H197" s="99"/>
      <c r="I197" s="99"/>
      <c r="J197" s="101"/>
      <c r="K197" s="102"/>
      <c r="L197" s="102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</row>
    <row r="198" spans="1:27" ht="14.25" customHeight="1">
      <c r="A198" s="99"/>
      <c r="B198" s="99"/>
      <c r="C198" s="99"/>
      <c r="D198" s="99"/>
      <c r="E198" s="99"/>
      <c r="F198" s="99"/>
      <c r="G198" s="100"/>
      <c r="H198" s="99"/>
      <c r="I198" s="99"/>
      <c r="J198" s="101"/>
      <c r="K198" s="102"/>
      <c r="L198" s="102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</row>
    <row r="199" spans="1:27" ht="14.25" customHeight="1">
      <c r="A199" s="99"/>
      <c r="B199" s="99"/>
      <c r="C199" s="99"/>
      <c r="D199" s="99"/>
      <c r="E199" s="99"/>
      <c r="F199" s="99"/>
      <c r="G199" s="100"/>
      <c r="H199" s="99"/>
      <c r="I199" s="99"/>
      <c r="J199" s="101"/>
      <c r="K199" s="102"/>
      <c r="L199" s="102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</row>
    <row r="200" spans="1:27" ht="14.25" customHeight="1">
      <c r="A200" s="99"/>
      <c r="B200" s="99"/>
      <c r="C200" s="99"/>
      <c r="D200" s="99"/>
      <c r="E200" s="99"/>
      <c r="F200" s="99"/>
      <c r="G200" s="100"/>
      <c r="H200" s="99"/>
      <c r="I200" s="99"/>
      <c r="J200" s="101"/>
      <c r="K200" s="102"/>
      <c r="L200" s="102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</row>
    <row r="201" spans="1:27" ht="14.25" customHeight="1">
      <c r="A201" s="99"/>
      <c r="B201" s="99"/>
      <c r="C201" s="99"/>
      <c r="D201" s="99"/>
      <c r="E201" s="99"/>
      <c r="F201" s="99"/>
      <c r="G201" s="100"/>
      <c r="H201" s="99"/>
      <c r="I201" s="99"/>
      <c r="J201" s="101"/>
      <c r="K201" s="102"/>
      <c r="L201" s="102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</row>
    <row r="202" spans="1:27" ht="14.25" customHeight="1">
      <c r="A202" s="99"/>
      <c r="B202" s="99"/>
      <c r="C202" s="99"/>
      <c r="D202" s="99"/>
      <c r="E202" s="99"/>
      <c r="F202" s="99"/>
      <c r="G202" s="100"/>
      <c r="H202" s="99"/>
      <c r="I202" s="99"/>
      <c r="J202" s="101"/>
      <c r="K202" s="102"/>
      <c r="L202" s="102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</row>
    <row r="203" spans="1:27" ht="14.25" customHeight="1">
      <c r="A203" s="99"/>
      <c r="B203" s="99"/>
      <c r="C203" s="99"/>
      <c r="D203" s="99"/>
      <c r="E203" s="99"/>
      <c r="F203" s="99"/>
      <c r="G203" s="100"/>
      <c r="H203" s="99"/>
      <c r="I203" s="99"/>
      <c r="J203" s="101"/>
      <c r="K203" s="102"/>
      <c r="L203" s="102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</row>
    <row r="204" spans="1:27" ht="14.25" customHeight="1">
      <c r="A204" s="99"/>
      <c r="B204" s="99"/>
      <c r="C204" s="99"/>
      <c r="D204" s="99"/>
      <c r="E204" s="99"/>
      <c r="F204" s="99"/>
      <c r="G204" s="100"/>
      <c r="H204" s="99"/>
      <c r="I204" s="99"/>
      <c r="J204" s="101"/>
      <c r="K204" s="102"/>
      <c r="L204" s="102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</row>
    <row r="205" spans="1:27" ht="14.25" customHeight="1">
      <c r="A205" s="99"/>
      <c r="B205" s="99"/>
      <c r="C205" s="99"/>
      <c r="D205" s="99"/>
      <c r="E205" s="99"/>
      <c r="F205" s="99"/>
      <c r="G205" s="100"/>
      <c r="H205" s="99"/>
      <c r="I205" s="99"/>
      <c r="J205" s="101"/>
      <c r="K205" s="102"/>
      <c r="L205" s="102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</row>
    <row r="206" spans="1:27" ht="14.25" customHeight="1">
      <c r="A206" s="99"/>
      <c r="B206" s="99"/>
      <c r="C206" s="99"/>
      <c r="D206" s="99"/>
      <c r="E206" s="99"/>
      <c r="F206" s="99"/>
      <c r="G206" s="100"/>
      <c r="H206" s="99"/>
      <c r="I206" s="99"/>
      <c r="J206" s="101"/>
      <c r="K206" s="102"/>
      <c r="L206" s="102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</row>
    <row r="207" spans="1:27" ht="14.25" customHeight="1">
      <c r="A207" s="99"/>
      <c r="B207" s="99"/>
      <c r="C207" s="99"/>
      <c r="D207" s="99"/>
      <c r="E207" s="99"/>
      <c r="F207" s="99"/>
      <c r="G207" s="100"/>
      <c r="H207" s="99"/>
      <c r="I207" s="99"/>
      <c r="J207" s="101"/>
      <c r="K207" s="102"/>
      <c r="L207" s="102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</row>
    <row r="208" spans="1:27" ht="14.25" customHeight="1">
      <c r="A208" s="99"/>
      <c r="B208" s="99"/>
      <c r="C208" s="99"/>
      <c r="D208" s="99"/>
      <c r="E208" s="99"/>
      <c r="F208" s="99"/>
      <c r="G208" s="100"/>
      <c r="H208" s="99"/>
      <c r="I208" s="99"/>
      <c r="J208" s="101"/>
      <c r="K208" s="102"/>
      <c r="L208" s="102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</row>
    <row r="209" spans="1:27" ht="14.25" customHeight="1">
      <c r="A209" s="99"/>
      <c r="B209" s="99"/>
      <c r="C209" s="99"/>
      <c r="D209" s="99"/>
      <c r="E209" s="99"/>
      <c r="F209" s="99"/>
      <c r="G209" s="100"/>
      <c r="H209" s="99"/>
      <c r="I209" s="99"/>
      <c r="J209" s="101"/>
      <c r="K209" s="102"/>
      <c r="L209" s="102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</row>
    <row r="210" spans="1:27" ht="14.25" customHeight="1">
      <c r="A210" s="99"/>
      <c r="B210" s="99"/>
      <c r="C210" s="99"/>
      <c r="D210" s="99"/>
      <c r="E210" s="99"/>
      <c r="F210" s="99"/>
      <c r="G210" s="100"/>
      <c r="H210" s="99"/>
      <c r="I210" s="99"/>
      <c r="J210" s="101"/>
      <c r="K210" s="102"/>
      <c r="L210" s="102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</row>
    <row r="211" spans="1:27" ht="14.25" customHeight="1">
      <c r="A211" s="99"/>
      <c r="B211" s="99"/>
      <c r="C211" s="99"/>
      <c r="D211" s="99"/>
      <c r="E211" s="99"/>
      <c r="F211" s="99"/>
      <c r="G211" s="100"/>
      <c r="H211" s="99"/>
      <c r="I211" s="99"/>
      <c r="J211" s="101"/>
      <c r="K211" s="102"/>
      <c r="L211" s="102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</row>
    <row r="212" spans="1:27" ht="14.25" customHeight="1">
      <c r="A212" s="99"/>
      <c r="B212" s="99"/>
      <c r="C212" s="99"/>
      <c r="D212" s="99"/>
      <c r="E212" s="99"/>
      <c r="F212" s="99"/>
      <c r="G212" s="100"/>
      <c r="H212" s="99"/>
      <c r="I212" s="99"/>
      <c r="J212" s="101"/>
      <c r="K212" s="102"/>
      <c r="L212" s="102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</row>
    <row r="213" spans="1:27" ht="14.25" customHeight="1">
      <c r="A213" s="99"/>
      <c r="B213" s="99"/>
      <c r="C213" s="99"/>
      <c r="D213" s="99"/>
      <c r="E213" s="99"/>
      <c r="F213" s="99"/>
      <c r="G213" s="100"/>
      <c r="H213" s="99"/>
      <c r="I213" s="99"/>
      <c r="J213" s="101"/>
      <c r="K213" s="102"/>
      <c r="L213" s="102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</row>
    <row r="214" spans="1:27" ht="14.25" customHeight="1">
      <c r="A214" s="99"/>
      <c r="B214" s="99"/>
      <c r="C214" s="99"/>
      <c r="D214" s="99"/>
      <c r="E214" s="99"/>
      <c r="F214" s="99"/>
      <c r="G214" s="100"/>
      <c r="H214" s="99"/>
      <c r="I214" s="99"/>
      <c r="J214" s="101"/>
      <c r="K214" s="102"/>
      <c r="L214" s="102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</row>
    <row r="215" spans="1:27" ht="14.25" customHeight="1">
      <c r="A215" s="99"/>
      <c r="B215" s="99"/>
      <c r="C215" s="99"/>
      <c r="D215" s="99"/>
      <c r="E215" s="99"/>
      <c r="F215" s="99"/>
      <c r="G215" s="100"/>
      <c r="H215" s="99"/>
      <c r="I215" s="99"/>
      <c r="J215" s="101"/>
      <c r="K215" s="102"/>
      <c r="L215" s="102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</row>
    <row r="216" spans="1:27" ht="14.25" customHeight="1">
      <c r="A216" s="99"/>
      <c r="B216" s="99"/>
      <c r="C216" s="99"/>
      <c r="D216" s="99"/>
      <c r="E216" s="99"/>
      <c r="F216" s="99"/>
      <c r="G216" s="100"/>
      <c r="H216" s="99"/>
      <c r="I216" s="99"/>
      <c r="J216" s="101"/>
      <c r="K216" s="102"/>
      <c r="L216" s="102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</row>
    <row r="217" spans="1:27" ht="14.25" customHeight="1">
      <c r="A217" s="99"/>
      <c r="B217" s="99"/>
      <c r="C217" s="99"/>
      <c r="D217" s="99"/>
      <c r="E217" s="99"/>
      <c r="F217" s="99"/>
      <c r="G217" s="100"/>
      <c r="H217" s="99"/>
      <c r="I217" s="99"/>
      <c r="J217" s="101"/>
      <c r="K217" s="102"/>
      <c r="L217" s="102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</row>
    <row r="218" spans="1:27" ht="14.25" customHeight="1">
      <c r="A218" s="99"/>
      <c r="B218" s="99"/>
      <c r="C218" s="99"/>
      <c r="D218" s="99"/>
      <c r="E218" s="99"/>
      <c r="F218" s="99"/>
      <c r="G218" s="100"/>
      <c r="H218" s="99"/>
      <c r="I218" s="99"/>
      <c r="J218" s="101"/>
      <c r="K218" s="102"/>
      <c r="L218" s="102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</row>
    <row r="219" spans="1:27" ht="14.25" customHeight="1">
      <c r="A219" s="99"/>
      <c r="B219" s="99"/>
      <c r="C219" s="99"/>
      <c r="D219" s="99"/>
      <c r="E219" s="99"/>
      <c r="F219" s="99"/>
      <c r="G219" s="100"/>
      <c r="H219" s="99"/>
      <c r="I219" s="99"/>
      <c r="J219" s="101"/>
      <c r="K219" s="102"/>
      <c r="L219" s="102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</row>
    <row r="220" spans="1:27" ht="14.25" customHeight="1">
      <c r="A220" s="99"/>
      <c r="B220" s="99"/>
      <c r="C220" s="99"/>
      <c r="D220" s="99"/>
      <c r="E220" s="99"/>
      <c r="F220" s="99"/>
      <c r="G220" s="100"/>
      <c r="H220" s="99"/>
      <c r="I220" s="99"/>
      <c r="J220" s="101"/>
      <c r="K220" s="102"/>
      <c r="L220" s="102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</row>
    <row r="221" spans="1:27" ht="14.25" customHeight="1">
      <c r="A221" s="99"/>
      <c r="B221" s="99"/>
      <c r="C221" s="99"/>
      <c r="D221" s="99"/>
      <c r="E221" s="99"/>
      <c r="F221" s="99"/>
      <c r="G221" s="100"/>
      <c r="H221" s="99"/>
      <c r="I221" s="99"/>
      <c r="J221" s="101"/>
      <c r="K221" s="102"/>
      <c r="L221" s="102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</row>
    <row r="222" spans="1:27" ht="14.25" customHeight="1">
      <c r="A222" s="99"/>
      <c r="B222" s="99"/>
      <c r="C222" s="99"/>
      <c r="D222" s="99"/>
      <c r="E222" s="99"/>
      <c r="F222" s="99"/>
      <c r="G222" s="100"/>
      <c r="H222" s="99"/>
      <c r="I222" s="99"/>
      <c r="J222" s="101"/>
      <c r="K222" s="102"/>
      <c r="L222" s="102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</row>
    <row r="223" spans="1:27" ht="14.25" customHeight="1">
      <c r="A223" s="99"/>
      <c r="B223" s="99"/>
      <c r="C223" s="99"/>
      <c r="D223" s="99"/>
      <c r="E223" s="99"/>
      <c r="F223" s="99"/>
      <c r="G223" s="100"/>
      <c r="H223" s="99"/>
      <c r="I223" s="99"/>
      <c r="J223" s="101"/>
      <c r="K223" s="102"/>
      <c r="L223" s="102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</row>
    <row r="224" spans="1:27" ht="14.25" customHeight="1">
      <c r="A224" s="99"/>
      <c r="B224" s="99"/>
      <c r="C224" s="99"/>
      <c r="D224" s="99"/>
      <c r="E224" s="99"/>
      <c r="F224" s="99"/>
      <c r="G224" s="100"/>
      <c r="H224" s="99"/>
      <c r="I224" s="99"/>
      <c r="J224" s="101"/>
      <c r="K224" s="102"/>
      <c r="L224" s="102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</row>
    <row r="225" spans="1:27" ht="14.25" customHeight="1">
      <c r="A225" s="99"/>
      <c r="B225" s="99"/>
      <c r="C225" s="99"/>
      <c r="D225" s="99"/>
      <c r="E225" s="99"/>
      <c r="F225" s="99"/>
      <c r="G225" s="100"/>
      <c r="H225" s="99"/>
      <c r="I225" s="99"/>
      <c r="J225" s="101"/>
      <c r="K225" s="102"/>
      <c r="L225" s="102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</row>
    <row r="226" spans="1:27" ht="14.25" customHeight="1">
      <c r="A226" s="99"/>
      <c r="B226" s="99"/>
      <c r="C226" s="99"/>
      <c r="D226" s="99"/>
      <c r="E226" s="99"/>
      <c r="F226" s="99"/>
      <c r="G226" s="100"/>
      <c r="H226" s="99"/>
      <c r="I226" s="99"/>
      <c r="J226" s="101"/>
      <c r="K226" s="102"/>
      <c r="L226" s="102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</row>
    <row r="227" spans="1:27" ht="14.25" customHeight="1">
      <c r="A227" s="99"/>
      <c r="B227" s="99"/>
      <c r="C227" s="99"/>
      <c r="D227" s="99"/>
      <c r="E227" s="99"/>
      <c r="F227" s="99"/>
      <c r="G227" s="100"/>
      <c r="H227" s="99"/>
      <c r="I227" s="99"/>
      <c r="J227" s="101"/>
      <c r="K227" s="102"/>
      <c r="L227" s="102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</row>
    <row r="228" spans="1:27" ht="14.25" customHeight="1">
      <c r="A228" s="99"/>
      <c r="B228" s="99"/>
      <c r="C228" s="99"/>
      <c r="D228" s="99"/>
      <c r="E228" s="99"/>
      <c r="F228" s="99"/>
      <c r="G228" s="100"/>
      <c r="H228" s="99"/>
      <c r="I228" s="99"/>
      <c r="J228" s="101"/>
      <c r="K228" s="102"/>
      <c r="L228" s="102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</row>
    <row r="229" spans="1:27" ht="14.25" customHeight="1">
      <c r="A229" s="99"/>
      <c r="B229" s="99"/>
      <c r="C229" s="99"/>
      <c r="D229" s="99"/>
      <c r="E229" s="99"/>
      <c r="F229" s="99"/>
      <c r="G229" s="100"/>
      <c r="H229" s="99"/>
      <c r="I229" s="99"/>
      <c r="J229" s="101"/>
      <c r="K229" s="102"/>
      <c r="L229" s="102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</row>
    <row r="230" spans="1:27" ht="14.25" customHeight="1">
      <c r="A230" s="99"/>
      <c r="B230" s="99"/>
      <c r="C230" s="99"/>
      <c r="D230" s="99"/>
      <c r="E230" s="99"/>
      <c r="F230" s="99"/>
      <c r="G230" s="100"/>
      <c r="H230" s="99"/>
      <c r="I230" s="99"/>
      <c r="J230" s="101"/>
      <c r="K230" s="102"/>
      <c r="L230" s="102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</row>
    <row r="231" spans="1:27" ht="14.25" customHeight="1">
      <c r="A231" s="99"/>
      <c r="B231" s="99"/>
      <c r="C231" s="99"/>
      <c r="D231" s="99"/>
      <c r="E231" s="99"/>
      <c r="F231" s="99"/>
      <c r="G231" s="100"/>
      <c r="H231" s="99"/>
      <c r="I231" s="99"/>
      <c r="J231" s="101"/>
      <c r="K231" s="102"/>
      <c r="L231" s="102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</row>
    <row r="232" spans="1:27" ht="14.25" customHeight="1">
      <c r="A232" s="99"/>
      <c r="B232" s="99"/>
      <c r="C232" s="99"/>
      <c r="D232" s="99"/>
      <c r="E232" s="99"/>
      <c r="F232" s="99"/>
      <c r="G232" s="100"/>
      <c r="H232" s="99"/>
      <c r="I232" s="99"/>
      <c r="J232" s="101"/>
      <c r="K232" s="102"/>
      <c r="L232" s="102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</row>
    <row r="233" spans="1:27" ht="14.25" customHeight="1">
      <c r="A233" s="99"/>
      <c r="B233" s="99"/>
      <c r="C233" s="99"/>
      <c r="D233" s="99"/>
      <c r="E233" s="99"/>
      <c r="F233" s="99"/>
      <c r="G233" s="100"/>
      <c r="H233" s="99"/>
      <c r="I233" s="99"/>
      <c r="J233" s="101"/>
      <c r="K233" s="102"/>
      <c r="L233" s="102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</row>
    <row r="234" spans="1:27" ht="14.25" customHeight="1">
      <c r="A234" s="99"/>
      <c r="B234" s="99"/>
      <c r="C234" s="99"/>
      <c r="D234" s="99"/>
      <c r="E234" s="99"/>
      <c r="F234" s="99"/>
      <c r="G234" s="100"/>
      <c r="H234" s="99"/>
      <c r="I234" s="99"/>
      <c r="J234" s="101"/>
      <c r="K234" s="102"/>
      <c r="L234" s="102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</row>
    <row r="235" spans="1:27" ht="14.25" customHeight="1">
      <c r="A235" s="99"/>
      <c r="B235" s="99"/>
      <c r="C235" s="99"/>
      <c r="D235" s="99"/>
      <c r="E235" s="99"/>
      <c r="F235" s="99"/>
      <c r="G235" s="100"/>
      <c r="H235" s="99"/>
      <c r="I235" s="99"/>
      <c r="J235" s="101"/>
      <c r="K235" s="102"/>
      <c r="L235" s="102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</row>
    <row r="236" spans="1:27" ht="14.25" customHeight="1">
      <c r="A236" s="99"/>
      <c r="B236" s="99"/>
      <c r="C236" s="99"/>
      <c r="D236" s="99"/>
      <c r="E236" s="99"/>
      <c r="F236" s="99"/>
      <c r="G236" s="100"/>
      <c r="H236" s="99"/>
      <c r="I236" s="99"/>
      <c r="J236" s="101"/>
      <c r="K236" s="102"/>
      <c r="L236" s="102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</row>
    <row r="237" spans="1:27" ht="14.25" customHeight="1">
      <c r="A237" s="99"/>
      <c r="B237" s="99"/>
      <c r="C237" s="99"/>
      <c r="D237" s="99"/>
      <c r="E237" s="99"/>
      <c r="F237" s="99"/>
      <c r="G237" s="100"/>
      <c r="H237" s="99"/>
      <c r="I237" s="99"/>
      <c r="J237" s="101"/>
      <c r="K237" s="102"/>
      <c r="L237" s="102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</row>
    <row r="238" spans="1:27" ht="14.25" customHeight="1">
      <c r="A238" s="99"/>
      <c r="B238" s="99"/>
      <c r="C238" s="99"/>
      <c r="D238" s="99"/>
      <c r="E238" s="99"/>
      <c r="F238" s="99"/>
      <c r="G238" s="100"/>
      <c r="H238" s="99"/>
      <c r="I238" s="99"/>
      <c r="J238" s="101"/>
      <c r="K238" s="102"/>
      <c r="L238" s="102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</row>
    <row r="239" spans="1:27" ht="14.25" customHeight="1">
      <c r="A239" s="99"/>
      <c r="B239" s="99"/>
      <c r="C239" s="99"/>
      <c r="D239" s="99"/>
      <c r="E239" s="99"/>
      <c r="F239" s="99"/>
      <c r="G239" s="100"/>
      <c r="H239" s="99"/>
      <c r="I239" s="99"/>
      <c r="J239" s="101"/>
      <c r="K239" s="102"/>
      <c r="L239" s="102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</row>
    <row r="240" spans="1:27" ht="14.25" customHeight="1">
      <c r="A240" s="99"/>
      <c r="B240" s="99"/>
      <c r="C240" s="99"/>
      <c r="D240" s="99"/>
      <c r="E240" s="99"/>
      <c r="F240" s="99"/>
      <c r="G240" s="100"/>
      <c r="H240" s="99"/>
      <c r="I240" s="99"/>
      <c r="J240" s="101"/>
      <c r="K240" s="102"/>
      <c r="L240" s="102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</row>
    <row r="241" spans="1:27" ht="14.25" customHeight="1">
      <c r="A241" s="99"/>
      <c r="B241" s="99"/>
      <c r="C241" s="99"/>
      <c r="D241" s="99"/>
      <c r="E241" s="99"/>
      <c r="F241" s="99"/>
      <c r="G241" s="100"/>
      <c r="H241" s="99"/>
      <c r="I241" s="99"/>
      <c r="J241" s="101"/>
      <c r="K241" s="102"/>
      <c r="L241" s="102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</row>
    <row r="242" spans="1:27" ht="14.25" customHeight="1">
      <c r="A242" s="99"/>
      <c r="B242" s="99"/>
      <c r="C242" s="99"/>
      <c r="D242" s="99"/>
      <c r="E242" s="99"/>
      <c r="F242" s="99"/>
      <c r="G242" s="100"/>
      <c r="H242" s="99"/>
      <c r="I242" s="99"/>
      <c r="J242" s="101"/>
      <c r="K242" s="102"/>
      <c r="L242" s="102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</row>
    <row r="243" spans="1:27" ht="14.25" customHeight="1">
      <c r="A243" s="99"/>
      <c r="B243" s="99"/>
      <c r="C243" s="99"/>
      <c r="D243" s="99"/>
      <c r="E243" s="99"/>
      <c r="F243" s="99"/>
      <c r="G243" s="100"/>
      <c r="H243" s="99"/>
      <c r="I243" s="99"/>
      <c r="J243" s="101"/>
      <c r="K243" s="102"/>
      <c r="L243" s="102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</row>
    <row r="244" spans="1:27" ht="14.25" customHeight="1">
      <c r="A244" s="99"/>
      <c r="B244" s="99"/>
      <c r="C244" s="99"/>
      <c r="D244" s="99"/>
      <c r="E244" s="99"/>
      <c r="F244" s="99"/>
      <c r="G244" s="100"/>
      <c r="H244" s="99"/>
      <c r="I244" s="99"/>
      <c r="J244" s="101"/>
      <c r="K244" s="102"/>
      <c r="L244" s="102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</row>
    <row r="245" spans="1:27" ht="14.25" customHeight="1">
      <c r="A245" s="99"/>
      <c r="B245" s="99"/>
      <c r="C245" s="99"/>
      <c r="D245" s="99"/>
      <c r="E245" s="99"/>
      <c r="F245" s="99"/>
      <c r="G245" s="100"/>
      <c r="H245" s="99"/>
      <c r="I245" s="99"/>
      <c r="J245" s="101"/>
      <c r="K245" s="102"/>
      <c r="L245" s="102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</row>
    <row r="246" spans="1:27" ht="14.25" customHeight="1">
      <c r="A246" s="99"/>
      <c r="B246" s="99"/>
      <c r="C246" s="99"/>
      <c r="D246" s="99"/>
      <c r="E246" s="99"/>
      <c r="F246" s="99"/>
      <c r="G246" s="100"/>
      <c r="H246" s="99"/>
      <c r="I246" s="99"/>
      <c r="J246" s="101"/>
      <c r="K246" s="102"/>
      <c r="L246" s="102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</row>
    <row r="247" spans="1:27" ht="14.25" customHeight="1">
      <c r="A247" s="99"/>
      <c r="B247" s="99"/>
      <c r="C247" s="99"/>
      <c r="D247" s="99"/>
      <c r="E247" s="99"/>
      <c r="F247" s="99"/>
      <c r="G247" s="100"/>
      <c r="H247" s="99"/>
      <c r="I247" s="99"/>
      <c r="J247" s="101"/>
      <c r="K247" s="102"/>
      <c r="L247" s="102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</row>
    <row r="248" spans="1:27" ht="14.25" customHeight="1">
      <c r="A248" s="99"/>
      <c r="B248" s="99"/>
      <c r="C248" s="99"/>
      <c r="D248" s="99"/>
      <c r="E248" s="99"/>
      <c r="F248" s="99"/>
      <c r="G248" s="100"/>
      <c r="H248" s="99"/>
      <c r="I248" s="99"/>
      <c r="J248" s="101"/>
      <c r="K248" s="102"/>
      <c r="L248" s="102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</row>
    <row r="249" spans="1:27" ht="14.25" customHeight="1">
      <c r="A249" s="99"/>
      <c r="B249" s="99"/>
      <c r="C249" s="99"/>
      <c r="D249" s="99"/>
      <c r="E249" s="99"/>
      <c r="F249" s="99"/>
      <c r="G249" s="100"/>
      <c r="H249" s="99"/>
      <c r="I249" s="99"/>
      <c r="J249" s="101"/>
      <c r="K249" s="102"/>
      <c r="L249" s="102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</row>
    <row r="250" spans="1:27" ht="14.25" customHeight="1">
      <c r="A250" s="99"/>
      <c r="B250" s="99"/>
      <c r="C250" s="99"/>
      <c r="D250" s="99"/>
      <c r="E250" s="99"/>
      <c r="F250" s="99"/>
      <c r="G250" s="100"/>
      <c r="H250" s="99"/>
      <c r="I250" s="99"/>
      <c r="J250" s="101"/>
      <c r="K250" s="102"/>
      <c r="L250" s="102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</row>
    <row r="251" spans="1:27" ht="14.25" customHeight="1">
      <c r="A251" s="99"/>
      <c r="B251" s="99"/>
      <c r="C251" s="99"/>
      <c r="D251" s="99"/>
      <c r="E251" s="99"/>
      <c r="F251" s="99"/>
      <c r="G251" s="100"/>
      <c r="H251" s="99"/>
      <c r="I251" s="99"/>
      <c r="J251" s="101"/>
      <c r="K251" s="102"/>
      <c r="L251" s="102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</row>
    <row r="252" spans="1:27" ht="14.25" customHeight="1">
      <c r="A252" s="99"/>
      <c r="B252" s="99"/>
      <c r="C252" s="99"/>
      <c r="D252" s="99"/>
      <c r="E252" s="99"/>
      <c r="F252" s="99"/>
      <c r="G252" s="100"/>
      <c r="H252" s="99"/>
      <c r="I252" s="99"/>
      <c r="J252" s="101"/>
      <c r="K252" s="102"/>
      <c r="L252" s="102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</row>
    <row r="253" spans="1:27" ht="14.25" customHeight="1">
      <c r="A253" s="99"/>
      <c r="B253" s="99"/>
      <c r="C253" s="99"/>
      <c r="D253" s="99"/>
      <c r="E253" s="99"/>
      <c r="F253" s="99"/>
      <c r="G253" s="100"/>
      <c r="H253" s="99"/>
      <c r="I253" s="99"/>
      <c r="J253" s="101"/>
      <c r="K253" s="102"/>
      <c r="L253" s="102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</row>
    <row r="254" spans="1:27" ht="14.25" customHeight="1">
      <c r="A254" s="99"/>
      <c r="B254" s="99"/>
      <c r="C254" s="99"/>
      <c r="D254" s="99"/>
      <c r="E254" s="99"/>
      <c r="F254" s="99"/>
      <c r="G254" s="100"/>
      <c r="H254" s="99"/>
      <c r="I254" s="99"/>
      <c r="J254" s="101"/>
      <c r="K254" s="102"/>
      <c r="L254" s="102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</row>
    <row r="255" spans="1:27" ht="14.25" customHeight="1">
      <c r="A255" s="99"/>
      <c r="B255" s="99"/>
      <c r="C255" s="99"/>
      <c r="D255" s="99"/>
      <c r="E255" s="99"/>
      <c r="F255" s="99"/>
      <c r="G255" s="100"/>
      <c r="H255" s="99"/>
      <c r="I255" s="99"/>
      <c r="J255" s="101"/>
      <c r="K255" s="102"/>
      <c r="L255" s="102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</row>
    <row r="256" spans="1:27" ht="14.25" customHeight="1">
      <c r="A256" s="99"/>
      <c r="B256" s="99"/>
      <c r="C256" s="99"/>
      <c r="D256" s="99"/>
      <c r="E256" s="99"/>
      <c r="F256" s="99"/>
      <c r="G256" s="100"/>
      <c r="H256" s="99"/>
      <c r="I256" s="99"/>
      <c r="J256" s="101"/>
      <c r="K256" s="102"/>
      <c r="L256" s="102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</row>
    <row r="257" spans="1:27" ht="14.25" customHeight="1">
      <c r="A257" s="99"/>
      <c r="B257" s="99"/>
      <c r="C257" s="99"/>
      <c r="D257" s="99"/>
      <c r="E257" s="99"/>
      <c r="F257" s="99"/>
      <c r="G257" s="100"/>
      <c r="H257" s="99"/>
      <c r="I257" s="99"/>
      <c r="J257" s="101"/>
      <c r="K257" s="102"/>
      <c r="L257" s="102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</row>
    <row r="258" spans="1:27" ht="14.25" customHeight="1">
      <c r="A258" s="99"/>
      <c r="B258" s="99"/>
      <c r="C258" s="99"/>
      <c r="D258" s="99"/>
      <c r="E258" s="99"/>
      <c r="F258" s="99"/>
      <c r="G258" s="100"/>
      <c r="H258" s="99"/>
      <c r="I258" s="99"/>
      <c r="J258" s="101"/>
      <c r="K258" s="102"/>
      <c r="L258" s="102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</row>
    <row r="259" spans="1:27" ht="14.25" customHeight="1">
      <c r="A259" s="99"/>
      <c r="B259" s="99"/>
      <c r="C259" s="99"/>
      <c r="D259" s="99"/>
      <c r="E259" s="99"/>
      <c r="F259" s="99"/>
      <c r="G259" s="100"/>
      <c r="H259" s="99"/>
      <c r="I259" s="99"/>
      <c r="J259" s="101"/>
      <c r="K259" s="102"/>
      <c r="L259" s="102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</row>
    <row r="260" spans="1:27" ht="14.25" customHeight="1">
      <c r="A260" s="99"/>
      <c r="B260" s="99"/>
      <c r="C260" s="99"/>
      <c r="D260" s="99"/>
      <c r="E260" s="99"/>
      <c r="F260" s="99"/>
      <c r="G260" s="100"/>
      <c r="H260" s="99"/>
      <c r="I260" s="99"/>
      <c r="J260" s="101"/>
      <c r="K260" s="102"/>
      <c r="L260" s="102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</row>
    <row r="261" spans="1:27" ht="14.25" customHeight="1">
      <c r="A261" s="99"/>
      <c r="B261" s="99"/>
      <c r="C261" s="99"/>
      <c r="D261" s="99"/>
      <c r="E261" s="99"/>
      <c r="F261" s="99"/>
      <c r="G261" s="100"/>
      <c r="H261" s="99"/>
      <c r="I261" s="99"/>
      <c r="J261" s="101"/>
      <c r="K261" s="102"/>
      <c r="L261" s="102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</row>
    <row r="262" spans="1:27" ht="14.25" customHeight="1">
      <c r="A262" s="99"/>
      <c r="B262" s="99"/>
      <c r="C262" s="99"/>
      <c r="D262" s="99"/>
      <c r="E262" s="99"/>
      <c r="F262" s="99"/>
      <c r="G262" s="100"/>
      <c r="H262" s="99"/>
      <c r="I262" s="99"/>
      <c r="J262" s="101"/>
      <c r="K262" s="102"/>
      <c r="L262" s="102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</row>
    <row r="263" spans="1:27" ht="14.25" customHeight="1">
      <c r="A263" s="99"/>
      <c r="B263" s="99"/>
      <c r="C263" s="99"/>
      <c r="D263" s="99"/>
      <c r="E263" s="99"/>
      <c r="F263" s="99"/>
      <c r="G263" s="100"/>
      <c r="H263" s="99"/>
      <c r="I263" s="99"/>
      <c r="J263" s="101"/>
      <c r="K263" s="102"/>
      <c r="L263" s="102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</row>
    <row r="264" spans="1:27" ht="14.25" customHeight="1">
      <c r="A264" s="99"/>
      <c r="B264" s="99"/>
      <c r="C264" s="99"/>
      <c r="D264" s="99"/>
      <c r="E264" s="99"/>
      <c r="F264" s="99"/>
      <c r="G264" s="100"/>
      <c r="H264" s="99"/>
      <c r="I264" s="99"/>
      <c r="J264" s="101"/>
      <c r="K264" s="102"/>
      <c r="L264" s="102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</row>
    <row r="265" spans="1:27" ht="14.25" customHeight="1">
      <c r="A265" s="99"/>
      <c r="B265" s="99"/>
      <c r="C265" s="99"/>
      <c r="D265" s="99"/>
      <c r="E265" s="99"/>
      <c r="F265" s="99"/>
      <c r="G265" s="100"/>
      <c r="H265" s="99"/>
      <c r="I265" s="99"/>
      <c r="J265" s="101"/>
      <c r="K265" s="102"/>
      <c r="L265" s="102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</row>
    <row r="266" spans="1:27" ht="14.25" customHeight="1">
      <c r="A266" s="99"/>
      <c r="B266" s="99"/>
      <c r="C266" s="99"/>
      <c r="D266" s="99"/>
      <c r="E266" s="99"/>
      <c r="F266" s="99"/>
      <c r="G266" s="100"/>
      <c r="H266" s="99"/>
      <c r="I266" s="99"/>
      <c r="J266" s="101"/>
      <c r="K266" s="102"/>
      <c r="L266" s="102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</row>
    <row r="267" spans="1:27" ht="14.25" customHeight="1">
      <c r="A267" s="99"/>
      <c r="B267" s="99"/>
      <c r="C267" s="99"/>
      <c r="D267" s="99"/>
      <c r="E267" s="99"/>
      <c r="F267" s="99"/>
      <c r="G267" s="100"/>
      <c r="H267" s="99"/>
      <c r="I267" s="99"/>
      <c r="J267" s="101"/>
      <c r="K267" s="102"/>
      <c r="L267" s="102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</row>
    <row r="268" spans="1:27" ht="14.25" customHeight="1">
      <c r="A268" s="99"/>
      <c r="B268" s="99"/>
      <c r="C268" s="99"/>
      <c r="D268" s="99"/>
      <c r="E268" s="99"/>
      <c r="F268" s="99"/>
      <c r="G268" s="100"/>
      <c r="H268" s="99"/>
      <c r="I268" s="99"/>
      <c r="J268" s="101"/>
      <c r="K268" s="102"/>
      <c r="L268" s="102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</row>
    <row r="269" spans="1:27" ht="14.25" customHeight="1">
      <c r="A269" s="99"/>
      <c r="B269" s="99"/>
      <c r="C269" s="99"/>
      <c r="D269" s="99"/>
      <c r="E269" s="99"/>
      <c r="F269" s="99"/>
      <c r="G269" s="100"/>
      <c r="H269" s="99"/>
      <c r="I269" s="99"/>
      <c r="J269" s="101"/>
      <c r="K269" s="102"/>
      <c r="L269" s="102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</row>
    <row r="270" spans="1:27" ht="14.25" customHeight="1">
      <c r="A270" s="99"/>
      <c r="B270" s="99"/>
      <c r="C270" s="99"/>
      <c r="D270" s="99"/>
      <c r="E270" s="99"/>
      <c r="F270" s="99"/>
      <c r="G270" s="100"/>
      <c r="H270" s="99"/>
      <c r="I270" s="99"/>
      <c r="J270" s="101"/>
      <c r="K270" s="102"/>
      <c r="L270" s="102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</row>
    <row r="271" spans="1:27" ht="14.25" customHeight="1">
      <c r="A271" s="99"/>
      <c r="B271" s="99"/>
      <c r="C271" s="99"/>
      <c r="D271" s="99"/>
      <c r="E271" s="99"/>
      <c r="F271" s="99"/>
      <c r="G271" s="100"/>
      <c r="H271" s="99"/>
      <c r="I271" s="99"/>
      <c r="J271" s="101"/>
      <c r="K271" s="102"/>
      <c r="L271" s="102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</row>
    <row r="272" spans="1:27" ht="14.25" customHeight="1">
      <c r="A272" s="99"/>
      <c r="B272" s="99"/>
      <c r="C272" s="99"/>
      <c r="D272" s="99"/>
      <c r="E272" s="99"/>
      <c r="F272" s="99"/>
      <c r="G272" s="100"/>
      <c r="H272" s="99"/>
      <c r="I272" s="99"/>
      <c r="J272" s="101"/>
      <c r="K272" s="102"/>
      <c r="L272" s="102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</row>
    <row r="273" spans="1:27" ht="14.25" customHeight="1">
      <c r="A273" s="99"/>
      <c r="B273" s="99"/>
      <c r="C273" s="99"/>
      <c r="D273" s="99"/>
      <c r="E273" s="99"/>
      <c r="F273" s="99"/>
      <c r="G273" s="100"/>
      <c r="H273" s="99"/>
      <c r="I273" s="99"/>
      <c r="J273" s="101"/>
      <c r="K273" s="102"/>
      <c r="L273" s="102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</row>
    <row r="274" spans="1:27" ht="14.25" customHeight="1">
      <c r="A274" s="99"/>
      <c r="B274" s="99"/>
      <c r="C274" s="99"/>
      <c r="D274" s="99"/>
      <c r="E274" s="99"/>
      <c r="F274" s="99"/>
      <c r="G274" s="100"/>
      <c r="H274" s="99"/>
      <c r="I274" s="99"/>
      <c r="J274" s="101"/>
      <c r="K274" s="102"/>
      <c r="L274" s="102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</row>
    <row r="275" spans="1:27" ht="14.25" customHeight="1">
      <c r="A275" s="99"/>
      <c r="B275" s="99"/>
      <c r="C275" s="99"/>
      <c r="D275" s="99"/>
      <c r="E275" s="99"/>
      <c r="F275" s="99"/>
      <c r="G275" s="100"/>
      <c r="H275" s="99"/>
      <c r="I275" s="99"/>
      <c r="J275" s="101"/>
      <c r="K275" s="102"/>
      <c r="L275" s="102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</row>
    <row r="276" spans="1:27" ht="14.25" customHeight="1">
      <c r="A276" s="99"/>
      <c r="B276" s="99"/>
      <c r="C276" s="99"/>
      <c r="D276" s="99"/>
      <c r="E276" s="99"/>
      <c r="F276" s="99"/>
      <c r="G276" s="100"/>
      <c r="H276" s="99"/>
      <c r="I276" s="99"/>
      <c r="J276" s="101"/>
      <c r="K276" s="102"/>
      <c r="L276" s="102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</row>
    <row r="277" spans="1:27" ht="14.25" customHeight="1">
      <c r="A277" s="99"/>
      <c r="B277" s="99"/>
      <c r="C277" s="99"/>
      <c r="D277" s="99"/>
      <c r="E277" s="99"/>
      <c r="F277" s="99"/>
      <c r="G277" s="100"/>
      <c r="H277" s="99"/>
      <c r="I277" s="99"/>
      <c r="J277" s="101"/>
      <c r="K277" s="102"/>
      <c r="L277" s="102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</row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O10:P60" xr:uid="{00000000-0009-0000-0000-00002B000000}">
    <sortState xmlns:xlrd2="http://schemas.microsoft.com/office/spreadsheetml/2017/richdata2" ref="O11:P60">
      <sortCondition descending="1" ref="P10:P60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M8:N9"/>
    <mergeCell ref="O8:P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89AC42C9-18FB-4613-82F7-044809C434B3}"/>
    <hyperlink ref="F62" r:id="rId2" xr:uid="{71F817A1-DDB5-47AD-B386-64338C934FC2}"/>
  </hyperlinks>
  <printOptions horizontalCentered="1"/>
  <pageMargins left="0.74803149606299213" right="0.23622047244094491" top="0.78740157480314965" bottom="0.82677165354330717" header="0" footer="0"/>
  <pageSetup paperSize="9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Kelapa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2025-09-01T04:30:00Z</dcterms:created>
  <dcterms:modified xsi:type="dcterms:W3CDTF">2025-09-01T04:30:09Z</dcterms:modified>
</cp:coreProperties>
</file>