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0" yWindow="1275" windowWidth="19095" windowHeight="6030"/>
  </bookViews>
  <sheets>
    <sheet name="Nov" sheetId="1" r:id="rId1"/>
  </sheets>
  <externalReferences>
    <externalReference r:id="rId2"/>
  </externalReferences>
  <definedNames>
    <definedName name="_xlnm.Print_Area" localSheetId="0">Nov!$A$1:$M$114</definedName>
    <definedName name="_xlnm.Print_Titles" localSheetId="0">Nov!$8:$12</definedName>
  </definedNames>
  <calcPr calcId="124519"/>
</workbook>
</file>

<file path=xl/calcChain.xml><?xml version="1.0" encoding="utf-8"?>
<calcChain xmlns="http://schemas.openxmlformats.org/spreadsheetml/2006/main">
  <c r="J129" i="1"/>
  <c r="K128"/>
  <c r="J128"/>
  <c r="R103"/>
  <c r="R102"/>
  <c r="R101"/>
  <c r="O99"/>
  <c r="Q99" s="1"/>
  <c r="M99"/>
  <c r="L99"/>
  <c r="J98"/>
  <c r="K98" s="1"/>
  <c r="I98"/>
  <c r="J97"/>
  <c r="K97" s="1"/>
  <c r="I97"/>
  <c r="N96"/>
  <c r="K96"/>
  <c r="O96" s="1"/>
  <c r="J96"/>
  <c r="I96"/>
  <c r="N95"/>
  <c r="J95"/>
  <c r="I95"/>
  <c r="K95" s="1"/>
  <c r="J94"/>
  <c r="I94"/>
  <c r="K94" s="1"/>
  <c r="N93"/>
  <c r="N92" s="1"/>
  <c r="J93"/>
  <c r="J92" s="1"/>
  <c r="P91"/>
  <c r="O91"/>
  <c r="Q91" s="1"/>
  <c r="M91"/>
  <c r="L91"/>
  <c r="Q90"/>
  <c r="P90"/>
  <c r="O90"/>
  <c r="M90"/>
  <c r="L90"/>
  <c r="N89"/>
  <c r="N88" s="1"/>
  <c r="J89"/>
  <c r="J88" s="1"/>
  <c r="I89"/>
  <c r="I88" s="1"/>
  <c r="P87"/>
  <c r="O87"/>
  <c r="Q87" s="1"/>
  <c r="M87"/>
  <c r="L87"/>
  <c r="L86"/>
  <c r="K86"/>
  <c r="O86" s="1"/>
  <c r="J86"/>
  <c r="I86"/>
  <c r="Q85"/>
  <c r="P85"/>
  <c r="O85"/>
  <c r="M85"/>
  <c r="L85"/>
  <c r="N84"/>
  <c r="N83" s="1"/>
  <c r="J84"/>
  <c r="J83" s="1"/>
  <c r="I84"/>
  <c r="I83" s="1"/>
  <c r="K82"/>
  <c r="M82" s="1"/>
  <c r="J82"/>
  <c r="I82"/>
  <c r="K81"/>
  <c r="M81" s="1"/>
  <c r="J81"/>
  <c r="I81"/>
  <c r="K80"/>
  <c r="M80" s="1"/>
  <c r="J80"/>
  <c r="I80"/>
  <c r="K79"/>
  <c r="M79" s="1"/>
  <c r="J79"/>
  <c r="I79"/>
  <c r="K78"/>
  <c r="M78" s="1"/>
  <c r="J78"/>
  <c r="I78"/>
  <c r="K77"/>
  <c r="M77" s="1"/>
  <c r="J77"/>
  <c r="I77"/>
  <c r="N76"/>
  <c r="L76"/>
  <c r="K76"/>
  <c r="O76" s="1"/>
  <c r="J76"/>
  <c r="I76"/>
  <c r="L75"/>
  <c r="K75"/>
  <c r="O75" s="1"/>
  <c r="J75"/>
  <c r="I75"/>
  <c r="L74"/>
  <c r="K74"/>
  <c r="O74" s="1"/>
  <c r="J74"/>
  <c r="I74"/>
  <c r="L73"/>
  <c r="K73"/>
  <c r="O73" s="1"/>
  <c r="J73"/>
  <c r="I73"/>
  <c r="L72"/>
  <c r="K72"/>
  <c r="O72" s="1"/>
  <c r="J72"/>
  <c r="I72"/>
  <c r="L71"/>
  <c r="K71"/>
  <c r="O71" s="1"/>
  <c r="J71"/>
  <c r="I71"/>
  <c r="N70"/>
  <c r="J70"/>
  <c r="I70"/>
  <c r="K70" s="1"/>
  <c r="N69"/>
  <c r="J69"/>
  <c r="I69"/>
  <c r="K69" s="1"/>
  <c r="J68"/>
  <c r="I68"/>
  <c r="K68" s="1"/>
  <c r="J67"/>
  <c r="I67"/>
  <c r="K67" s="1"/>
  <c r="J66"/>
  <c r="I66"/>
  <c r="K66" s="1"/>
  <c r="J65"/>
  <c r="I65"/>
  <c r="K65" s="1"/>
  <c r="J64"/>
  <c r="I64"/>
  <c r="K64" s="1"/>
  <c r="J63"/>
  <c r="J62" s="1"/>
  <c r="I63"/>
  <c r="I62" s="1"/>
  <c r="N62"/>
  <c r="P61"/>
  <c r="O61"/>
  <c r="Q61" s="1"/>
  <c r="M61"/>
  <c r="L61"/>
  <c r="L60"/>
  <c r="K60"/>
  <c r="O60" s="1"/>
  <c r="J60"/>
  <c r="I60"/>
  <c r="L59"/>
  <c r="K59"/>
  <c r="O59" s="1"/>
  <c r="J59"/>
  <c r="I59"/>
  <c r="L58"/>
  <c r="K58"/>
  <c r="O58" s="1"/>
  <c r="J58"/>
  <c r="I58"/>
  <c r="L57"/>
  <c r="K57"/>
  <c r="O57" s="1"/>
  <c r="J57"/>
  <c r="I57"/>
  <c r="L56"/>
  <c r="K56"/>
  <c r="O56" s="1"/>
  <c r="J56"/>
  <c r="J55" s="1"/>
  <c r="I56"/>
  <c r="N55"/>
  <c r="I55"/>
  <c r="Q54"/>
  <c r="P54"/>
  <c r="O54"/>
  <c r="M54"/>
  <c r="L54"/>
  <c r="J53"/>
  <c r="I53"/>
  <c r="K53" s="1"/>
  <c r="J52"/>
  <c r="I52"/>
  <c r="K52" s="1"/>
  <c r="J51"/>
  <c r="I51"/>
  <c r="K51" s="1"/>
  <c r="J50"/>
  <c r="I50"/>
  <c r="K50" s="1"/>
  <c r="J49"/>
  <c r="I49"/>
  <c r="K49" s="1"/>
  <c r="N48"/>
  <c r="N44" s="1"/>
  <c r="K48"/>
  <c r="M48" s="1"/>
  <c r="J48"/>
  <c r="I48"/>
  <c r="K47"/>
  <c r="M47" s="1"/>
  <c r="J47"/>
  <c r="I47"/>
  <c r="K46"/>
  <c r="M46" s="1"/>
  <c r="J46"/>
  <c r="I46"/>
  <c r="K45"/>
  <c r="M45" s="1"/>
  <c r="J45"/>
  <c r="J44" s="1"/>
  <c r="I45"/>
  <c r="I44" s="1"/>
  <c r="Q43"/>
  <c r="P43"/>
  <c r="O43"/>
  <c r="M43"/>
  <c r="L43"/>
  <c r="J42"/>
  <c r="I42"/>
  <c r="K42" s="1"/>
  <c r="N41"/>
  <c r="J41"/>
  <c r="I41"/>
  <c r="I40" s="1"/>
  <c r="I39" s="1"/>
  <c r="N40"/>
  <c r="J40"/>
  <c r="Q38"/>
  <c r="P38"/>
  <c r="O38"/>
  <c r="M38"/>
  <c r="L38"/>
  <c r="N37"/>
  <c r="J37"/>
  <c r="I37"/>
  <c r="K37" s="1"/>
  <c r="J36"/>
  <c r="I36"/>
  <c r="K36" s="1"/>
  <c r="N35"/>
  <c r="K35"/>
  <c r="M35" s="1"/>
  <c r="J35"/>
  <c r="I35"/>
  <c r="K34"/>
  <c r="M34" s="1"/>
  <c r="J34"/>
  <c r="I34"/>
  <c r="K33"/>
  <c r="M33" s="1"/>
  <c r="J33"/>
  <c r="I33"/>
  <c r="K32"/>
  <c r="M32" s="1"/>
  <c r="J32"/>
  <c r="J31" s="1"/>
  <c r="I32"/>
  <c r="I31" s="1"/>
  <c r="N31"/>
  <c r="L31"/>
  <c r="K31"/>
  <c r="O31" s="1"/>
  <c r="L30"/>
  <c r="K30"/>
  <c r="O30" s="1"/>
  <c r="J30"/>
  <c r="I30"/>
  <c r="L29"/>
  <c r="K29"/>
  <c r="O29" s="1"/>
  <c r="J29"/>
  <c r="J28" s="1"/>
  <c r="I29"/>
  <c r="N28"/>
  <c r="I28"/>
  <c r="N27"/>
  <c r="M27"/>
  <c r="L27"/>
  <c r="K27"/>
  <c r="O27" s="1"/>
  <c r="J27"/>
  <c r="I27"/>
  <c r="J26"/>
  <c r="I26"/>
  <c r="K26" s="1"/>
  <c r="J25"/>
  <c r="I25"/>
  <c r="K25" s="1"/>
  <c r="J24"/>
  <c r="I24"/>
  <c r="K24" s="1"/>
  <c r="J23"/>
  <c r="I23"/>
  <c r="K23" s="1"/>
  <c r="J22"/>
  <c r="I22"/>
  <c r="K22" s="1"/>
  <c r="J21"/>
  <c r="I21"/>
  <c r="I20" s="1"/>
  <c r="I102" s="1"/>
  <c r="N20"/>
  <c r="N102" s="1"/>
  <c r="J20"/>
  <c r="J19"/>
  <c r="J18" s="1"/>
  <c r="I19"/>
  <c r="I101" s="1"/>
  <c r="N18"/>
  <c r="N17" s="1"/>
  <c r="Q16"/>
  <c r="L16"/>
  <c r="Q14"/>
  <c r="L14"/>
  <c r="H7"/>
  <c r="A5"/>
  <c r="L25" l="1"/>
  <c r="M25"/>
  <c r="O25"/>
  <c r="L42"/>
  <c r="M42"/>
  <c r="O42"/>
  <c r="L51"/>
  <c r="M51"/>
  <c r="O51"/>
  <c r="L53"/>
  <c r="M53"/>
  <c r="O53"/>
  <c r="L66"/>
  <c r="M66"/>
  <c r="O66"/>
  <c r="L68"/>
  <c r="M68"/>
  <c r="O68"/>
  <c r="N103"/>
  <c r="L22"/>
  <c r="M22"/>
  <c r="O22"/>
  <c r="L24"/>
  <c r="M24"/>
  <c r="O24"/>
  <c r="L26"/>
  <c r="M26"/>
  <c r="O26"/>
  <c r="P27"/>
  <c r="Q27"/>
  <c r="P29"/>
  <c r="Q29"/>
  <c r="P30"/>
  <c r="Q30"/>
  <c r="L37"/>
  <c r="M37"/>
  <c r="O37"/>
  <c r="P56"/>
  <c r="Q56"/>
  <c r="P57"/>
  <c r="Q57"/>
  <c r="P58"/>
  <c r="Q58"/>
  <c r="P59"/>
  <c r="Q59"/>
  <c r="P60"/>
  <c r="Q60"/>
  <c r="J103"/>
  <c r="O95"/>
  <c r="L95"/>
  <c r="M95"/>
  <c r="M97"/>
  <c r="O97"/>
  <c r="L97"/>
  <c r="L50"/>
  <c r="M50"/>
  <c r="O50"/>
  <c r="L52"/>
  <c r="M52"/>
  <c r="O52"/>
  <c r="L65"/>
  <c r="M65"/>
  <c r="O65"/>
  <c r="L67"/>
  <c r="M67"/>
  <c r="O67"/>
  <c r="L69"/>
  <c r="M69"/>
  <c r="O69"/>
  <c r="P71"/>
  <c r="Q71"/>
  <c r="P72"/>
  <c r="Q72"/>
  <c r="P73"/>
  <c r="Q73"/>
  <c r="P74"/>
  <c r="Q74"/>
  <c r="P75"/>
  <c r="Q75"/>
  <c r="P76"/>
  <c r="Q76"/>
  <c r="N15"/>
  <c r="N100" s="1"/>
  <c r="N13" s="1"/>
  <c r="N39"/>
  <c r="J102"/>
  <c r="J39"/>
  <c r="J17"/>
  <c r="L23"/>
  <c r="M23"/>
  <c r="O23"/>
  <c r="P31"/>
  <c r="Q31"/>
  <c r="L36"/>
  <c r="M36"/>
  <c r="O36"/>
  <c r="O70"/>
  <c r="L70"/>
  <c r="M70"/>
  <c r="P86"/>
  <c r="Q86"/>
  <c r="L94"/>
  <c r="M94"/>
  <c r="O94"/>
  <c r="K93"/>
  <c r="M98"/>
  <c r="O98"/>
  <c r="L98"/>
  <c r="L49"/>
  <c r="M49"/>
  <c r="O49"/>
  <c r="L64"/>
  <c r="M64"/>
  <c r="O64"/>
  <c r="P96"/>
  <c r="Q96"/>
  <c r="I18"/>
  <c r="I17" s="1"/>
  <c r="I15" s="1"/>
  <c r="K21"/>
  <c r="M29"/>
  <c r="M30"/>
  <c r="M31"/>
  <c r="L32"/>
  <c r="L33"/>
  <c r="L34"/>
  <c r="L35"/>
  <c r="K41"/>
  <c r="L45"/>
  <c r="L46"/>
  <c r="L47"/>
  <c r="L48"/>
  <c r="M56"/>
  <c r="M57"/>
  <c r="M58"/>
  <c r="M59"/>
  <c r="M60"/>
  <c r="K63"/>
  <c r="M71"/>
  <c r="M72"/>
  <c r="M73"/>
  <c r="M74"/>
  <c r="M75"/>
  <c r="M76"/>
  <c r="L77"/>
  <c r="L78"/>
  <c r="L79"/>
  <c r="L80"/>
  <c r="L81"/>
  <c r="L82"/>
  <c r="K84"/>
  <c r="M86"/>
  <c r="K89"/>
  <c r="M96"/>
  <c r="P99"/>
  <c r="J101"/>
  <c r="J104" s="1"/>
  <c r="N101"/>
  <c r="N104" s="1"/>
  <c r="K129"/>
  <c r="K130" s="1"/>
  <c r="K19"/>
  <c r="O35"/>
  <c r="O48"/>
  <c r="L96"/>
  <c r="O32"/>
  <c r="O33"/>
  <c r="O34"/>
  <c r="K44"/>
  <c r="O45"/>
  <c r="O46"/>
  <c r="O47"/>
  <c r="O77"/>
  <c r="O78"/>
  <c r="O79"/>
  <c r="O80"/>
  <c r="O81"/>
  <c r="O82"/>
  <c r="I93"/>
  <c r="I92" s="1"/>
  <c r="K28"/>
  <c r="K55"/>
  <c r="O28" l="1"/>
  <c r="L28"/>
  <c r="M28"/>
  <c r="P82"/>
  <c r="Q82"/>
  <c r="P78"/>
  <c r="Q78"/>
  <c r="P45"/>
  <c r="Q45"/>
  <c r="P32"/>
  <c r="Q32"/>
  <c r="M19"/>
  <c r="O19"/>
  <c r="K18"/>
  <c r="L19"/>
  <c r="L84"/>
  <c r="M84"/>
  <c r="K83"/>
  <c r="O84"/>
  <c r="P98"/>
  <c r="Q98"/>
  <c r="Q23"/>
  <c r="P23"/>
  <c r="Q65"/>
  <c r="P65"/>
  <c r="Q26"/>
  <c r="P26"/>
  <c r="Q51"/>
  <c r="P51"/>
  <c r="J15"/>
  <c r="J100" s="1"/>
  <c r="J13" s="1"/>
  <c r="I103"/>
  <c r="I104" s="1"/>
  <c r="I100"/>
  <c r="I13" s="1"/>
  <c r="P79"/>
  <c r="Q79"/>
  <c r="P46"/>
  <c r="Q46"/>
  <c r="P33"/>
  <c r="Q33"/>
  <c r="Q35"/>
  <c r="P35"/>
  <c r="L41"/>
  <c r="M41"/>
  <c r="K40"/>
  <c r="O41"/>
  <c r="L21"/>
  <c r="M21"/>
  <c r="O21"/>
  <c r="K20"/>
  <c r="Q64"/>
  <c r="P64"/>
  <c r="P94"/>
  <c r="Q94"/>
  <c r="Q36"/>
  <c r="P36"/>
  <c r="Q52"/>
  <c r="P52"/>
  <c r="P37"/>
  <c r="Q37"/>
  <c r="Q24"/>
  <c r="P24"/>
  <c r="Q68"/>
  <c r="P68"/>
  <c r="P42"/>
  <c r="Q42"/>
  <c r="P80"/>
  <c r="Q80"/>
  <c r="P47"/>
  <c r="Q47"/>
  <c r="P34"/>
  <c r="Q34"/>
  <c r="Q48"/>
  <c r="P48"/>
  <c r="L89"/>
  <c r="M89"/>
  <c r="K88"/>
  <c r="O89"/>
  <c r="Q49"/>
  <c r="P49"/>
  <c r="L93"/>
  <c r="M93"/>
  <c r="K92"/>
  <c r="O93"/>
  <c r="P70"/>
  <c r="Q70"/>
  <c r="P69"/>
  <c r="Q69"/>
  <c r="Q50"/>
  <c r="P50"/>
  <c r="P97"/>
  <c r="Q97"/>
  <c r="P95"/>
  <c r="Q95"/>
  <c r="Q22"/>
  <c r="P22"/>
  <c r="Q66"/>
  <c r="P66"/>
  <c r="Q25"/>
  <c r="P25"/>
  <c r="O55"/>
  <c r="L55"/>
  <c r="M55"/>
  <c r="P81"/>
  <c r="Q81"/>
  <c r="P77"/>
  <c r="Q77"/>
  <c r="O44"/>
  <c r="L44"/>
  <c r="M44"/>
  <c r="L63"/>
  <c r="M63"/>
  <c r="O63"/>
  <c r="K62"/>
  <c r="Q67"/>
  <c r="P67"/>
  <c r="Q53"/>
  <c r="P53"/>
  <c r="K134"/>
  <c r="K135" s="1"/>
  <c r="K136" s="1"/>
  <c r="P44" l="1"/>
  <c r="Q44"/>
  <c r="M62"/>
  <c r="O62"/>
  <c r="L62"/>
  <c r="P89"/>
  <c r="Q89"/>
  <c r="M20"/>
  <c r="O20"/>
  <c r="K102"/>
  <c r="M102" s="1"/>
  <c r="L20"/>
  <c r="P41"/>
  <c r="Q41"/>
  <c r="P28"/>
  <c r="Q28"/>
  <c r="M92"/>
  <c r="K103"/>
  <c r="M103" s="1"/>
  <c r="O92"/>
  <c r="L92"/>
  <c r="L103" s="1"/>
  <c r="O18"/>
  <c r="P19"/>
  <c r="Q19"/>
  <c r="P93"/>
  <c r="Q93"/>
  <c r="M83"/>
  <c r="O83"/>
  <c r="L83"/>
  <c r="K17"/>
  <c r="L18"/>
  <c r="M18"/>
  <c r="Q63"/>
  <c r="P63"/>
  <c r="P55"/>
  <c r="Q55"/>
  <c r="M88"/>
  <c r="O88"/>
  <c r="L88"/>
  <c r="Q21"/>
  <c r="P21"/>
  <c r="M40"/>
  <c r="K39"/>
  <c r="O40"/>
  <c r="L40"/>
  <c r="P84"/>
  <c r="Q84"/>
  <c r="L101"/>
  <c r="K101"/>
  <c r="Q88" l="1"/>
  <c r="P88"/>
  <c r="L17"/>
  <c r="K15"/>
  <c r="M17"/>
  <c r="O17"/>
  <c r="Q18"/>
  <c r="O39"/>
  <c r="L39"/>
  <c r="M39"/>
  <c r="P18"/>
  <c r="P17" s="1"/>
  <c r="Q40"/>
  <c r="P40"/>
  <c r="P101" s="1"/>
  <c r="Q83"/>
  <c r="P83"/>
  <c r="Q62"/>
  <c r="P62"/>
  <c r="K104"/>
  <c r="M104" s="1"/>
  <c r="M101"/>
  <c r="Q20"/>
  <c r="O102"/>
  <c r="Q102" s="1"/>
  <c r="P20"/>
  <c r="L102"/>
  <c r="L104" s="1"/>
  <c r="O101"/>
  <c r="Q92"/>
  <c r="O103"/>
  <c r="Q103" s="1"/>
  <c r="P92"/>
  <c r="S101" l="1"/>
  <c r="O15"/>
  <c r="Q17"/>
  <c r="P103"/>
  <c r="S103" s="1"/>
  <c r="O104"/>
  <c r="Q104" s="1"/>
  <c r="Q101"/>
  <c r="P102"/>
  <c r="S102" s="1"/>
  <c r="P39"/>
  <c r="P15" s="1"/>
  <c r="P100" s="1"/>
  <c r="P13" s="1"/>
  <c r="Q39"/>
  <c r="L15"/>
  <c r="M15"/>
  <c r="K100"/>
  <c r="L100" l="1"/>
  <c r="M100"/>
  <c r="K13"/>
  <c r="Q15"/>
  <c r="O100"/>
  <c r="P104"/>
  <c r="Q100" l="1"/>
  <c r="O13"/>
  <c r="Q13" s="1"/>
  <c r="M13"/>
  <c r="L13"/>
</calcChain>
</file>

<file path=xl/sharedStrings.xml><?xml version="1.0" encoding="utf-8"?>
<sst xmlns="http://schemas.openxmlformats.org/spreadsheetml/2006/main" count="254" uniqueCount="223">
  <si>
    <t>PEMERINTAH PROVINSI JAWA TENGAH</t>
  </si>
  <si>
    <t>RUMAH SAKIT UMUM DAERAH  KELET JEPARA</t>
  </si>
  <si>
    <t>LAPORAN BIAYA BLUD</t>
  </si>
  <si>
    <t xml:space="preserve"> </t>
  </si>
  <si>
    <t>NO</t>
  </si>
  <si>
    <t>URAIAN</t>
  </si>
  <si>
    <t>ANGGARAN DALAM DPPA</t>
  </si>
  <si>
    <t>REALISASI S/D BULAN LALU</t>
  </si>
  <si>
    <t>REALISASI BULAN INI</t>
  </si>
  <si>
    <t>REALISASI S/D BULAN INI</t>
  </si>
  <si>
    <t>LEBIH (KURANG)</t>
  </si>
  <si>
    <t>%</t>
  </si>
  <si>
    <t>Prediksi Nop-Des</t>
  </si>
  <si>
    <t>Real s.d Des</t>
  </si>
  <si>
    <t>Sisa Anggaran</t>
  </si>
  <si>
    <t>6=4+5</t>
  </si>
  <si>
    <t>7=3-6</t>
  </si>
  <si>
    <t>8 = 6:3</t>
  </si>
  <si>
    <t>BIAYA BLUD</t>
  </si>
  <si>
    <t>I</t>
  </si>
  <si>
    <t>BIAYA OPERASIONAL</t>
  </si>
  <si>
    <t>A</t>
  </si>
  <si>
    <t>BIAYA PELAYANAN</t>
  </si>
  <si>
    <t>1</t>
  </si>
  <si>
    <t>Biaya Pegawai</t>
  </si>
  <si>
    <t>1.1</t>
  </si>
  <si>
    <t>Gaji dan Tunjangan Pegawai Non PNS</t>
  </si>
  <si>
    <t>2</t>
  </si>
  <si>
    <t>Biaya Bahan</t>
  </si>
  <si>
    <t>1221</t>
  </si>
  <si>
    <t>2.1</t>
  </si>
  <si>
    <t>Biaya obat</t>
  </si>
  <si>
    <t>1222</t>
  </si>
  <si>
    <t>2.2</t>
  </si>
  <si>
    <t>Biaya bahan kimia</t>
  </si>
  <si>
    <t>1223</t>
  </si>
  <si>
    <t>2.3</t>
  </si>
  <si>
    <t xml:space="preserve">Biaya bahan Laboratorium </t>
  </si>
  <si>
    <t>1224</t>
  </si>
  <si>
    <t>2.4</t>
  </si>
  <si>
    <t>Biaya Bahan Sanitasi</t>
  </si>
  <si>
    <t>1225</t>
  </si>
  <si>
    <t>2.5</t>
  </si>
  <si>
    <t>Biaya Makan Pasien</t>
  </si>
  <si>
    <t>1226</t>
  </si>
  <si>
    <t>2.6</t>
  </si>
  <si>
    <t>Biaya Bahan Gas</t>
  </si>
  <si>
    <t>1311</t>
  </si>
  <si>
    <t>3</t>
  </si>
  <si>
    <t>Biaya Jasa Pelayanan</t>
  </si>
  <si>
    <t>4</t>
  </si>
  <si>
    <t>Biaya Pemeliharaan</t>
  </si>
  <si>
    <t>1441</t>
  </si>
  <si>
    <t>4.1</t>
  </si>
  <si>
    <t>Biaya Pemeliharaan Kalibrasi</t>
  </si>
  <si>
    <t>1442</t>
  </si>
  <si>
    <t>4.2</t>
  </si>
  <si>
    <t>Biaya Pemeliharaan Aldok</t>
  </si>
  <si>
    <t>5</t>
  </si>
  <si>
    <t>Biaya Barang &amp; Jasa</t>
  </si>
  <si>
    <t>1551</t>
  </si>
  <si>
    <t>5.1</t>
  </si>
  <si>
    <t>Biaya Perlengkapan Ruang Pasien</t>
  </si>
  <si>
    <t>1552</t>
  </si>
  <si>
    <t>5.2</t>
  </si>
  <si>
    <t>Biaya Linen</t>
  </si>
  <si>
    <t>1553</t>
  </si>
  <si>
    <t>5.3</t>
  </si>
  <si>
    <t>Biaya Cetakan Medis</t>
  </si>
  <si>
    <t>6</t>
  </si>
  <si>
    <t>Biaya Lain-lain</t>
  </si>
  <si>
    <t>1661</t>
  </si>
  <si>
    <t>6.1</t>
  </si>
  <si>
    <t>Biaya Pemeriksaan Penunjang di luar Rumah Sakit</t>
  </si>
  <si>
    <t>1662</t>
  </si>
  <si>
    <t>6.2</t>
  </si>
  <si>
    <t>Biaya Pengendalian Binatang Pengganggu</t>
  </si>
  <si>
    <t>B</t>
  </si>
  <si>
    <t>BIAYA UMUM &amp; ADMINISTRASI</t>
  </si>
  <si>
    <t>2111</t>
  </si>
  <si>
    <t>Honorarium PNS</t>
  </si>
  <si>
    <t>2112</t>
  </si>
  <si>
    <t>1.2</t>
  </si>
  <si>
    <t>Biaya Piket</t>
  </si>
  <si>
    <t>Biaya Administrasi Umum</t>
  </si>
  <si>
    <t>2221</t>
  </si>
  <si>
    <t>Biaya Benda Pos</t>
  </si>
  <si>
    <t>2222</t>
  </si>
  <si>
    <t>Biaya ATK</t>
  </si>
  <si>
    <t>2223</t>
  </si>
  <si>
    <t>Biaya Cetak dan Penggandaan/Copy</t>
  </si>
  <si>
    <t>2224</t>
  </si>
  <si>
    <t>Biaya Pakaian Dinas/Kerja</t>
  </si>
  <si>
    <t>2225</t>
  </si>
  <si>
    <t>Biaya Makan Minum Rapat</t>
  </si>
  <si>
    <t>2226</t>
  </si>
  <si>
    <t>Biaya Makan Minum Tamu</t>
  </si>
  <si>
    <t>2227</t>
  </si>
  <si>
    <t>2.7</t>
  </si>
  <si>
    <t>Biaya Lelang</t>
  </si>
  <si>
    <t>2228</t>
  </si>
  <si>
    <t>2.8</t>
  </si>
  <si>
    <t>Biaya Dokumentasi</t>
  </si>
  <si>
    <t>2229</t>
  </si>
  <si>
    <t>2.9</t>
  </si>
  <si>
    <t>Biaya Perjalanan Dinas</t>
  </si>
  <si>
    <t>2331</t>
  </si>
  <si>
    <t>3.1</t>
  </si>
  <si>
    <t>Biaya Pemeliharaan Peralatan dan Mesin</t>
  </si>
  <si>
    <t>2332</t>
  </si>
  <si>
    <t>3.2</t>
  </si>
  <si>
    <t>Biaya Pemeliharaan  Gedung Kantor</t>
  </si>
  <si>
    <t>2333</t>
  </si>
  <si>
    <t>3.3</t>
  </si>
  <si>
    <t>Biaya Pemeliharaan Jaringan</t>
  </si>
  <si>
    <t>2334</t>
  </si>
  <si>
    <t>3.4</t>
  </si>
  <si>
    <t>Biaya Pemeliharaan Kendaraan</t>
  </si>
  <si>
    <t>2335</t>
  </si>
  <si>
    <t>3.5</t>
  </si>
  <si>
    <t>Biaya Pemeliharaan Aset Tetap Lainnya</t>
  </si>
  <si>
    <t>Biaya Barang dan Jasa</t>
  </si>
  <si>
    <t>2441</t>
  </si>
  <si>
    <t>Biaya Bahan dan Alat Instalasi Air</t>
  </si>
  <si>
    <t>2442</t>
  </si>
  <si>
    <t>Biaya bahan pembersih &amp; Alat Kebersihan</t>
  </si>
  <si>
    <t>2443</t>
  </si>
  <si>
    <t>4.3</t>
  </si>
  <si>
    <t>Biaya Bahan Bakar Solar</t>
  </si>
  <si>
    <t>2444</t>
  </si>
  <si>
    <t>4.4</t>
  </si>
  <si>
    <t>Biaya Pengisian Tabung Pemadam Kebakaran</t>
  </si>
  <si>
    <t>2445</t>
  </si>
  <si>
    <t>4.5</t>
  </si>
  <si>
    <t>Biaya Bahan Persediaan alat listrik/elektronik</t>
  </si>
  <si>
    <t>2446</t>
  </si>
  <si>
    <t>4.6</t>
  </si>
  <si>
    <t>Biaya Jasa Konsultan</t>
  </si>
  <si>
    <t>2447</t>
  </si>
  <si>
    <t>4.7</t>
  </si>
  <si>
    <t>Biaya Langganan Listrik / Air/ telepn dan Internet</t>
  </si>
  <si>
    <t>2448</t>
  </si>
  <si>
    <t>4.8</t>
  </si>
  <si>
    <t>Biaya Langganan Surat Kabar</t>
  </si>
  <si>
    <t>2449</t>
  </si>
  <si>
    <t>4.9</t>
  </si>
  <si>
    <t>Biaya Bahan Peralatan Kantordan Rumah Tangga</t>
  </si>
  <si>
    <t>2450</t>
  </si>
  <si>
    <t>4.10</t>
  </si>
  <si>
    <t>Biaya Bahan dan Bibit Tanaman</t>
  </si>
  <si>
    <t>2451</t>
  </si>
  <si>
    <t>4.11</t>
  </si>
  <si>
    <t>Biaya Bahan Kimia</t>
  </si>
  <si>
    <t>2452</t>
  </si>
  <si>
    <t>4.12</t>
  </si>
  <si>
    <t>Biaya Sampah Non Medis &amp; Medis</t>
  </si>
  <si>
    <t>2453</t>
  </si>
  <si>
    <t>4.13</t>
  </si>
  <si>
    <t>Biaya Jasa Sosial</t>
  </si>
  <si>
    <t>2454</t>
  </si>
  <si>
    <t>4.14</t>
  </si>
  <si>
    <t>Biaya Jasa Kebersihan Kantor</t>
  </si>
  <si>
    <t>2455</t>
  </si>
  <si>
    <t>4.15</t>
  </si>
  <si>
    <t>Biaya Pendidikan dan Pelatihan</t>
  </si>
  <si>
    <t>2456</t>
  </si>
  <si>
    <t>4.16</t>
  </si>
  <si>
    <t>Biaya Sewa Perlengkapan dan Peralatan Kantor</t>
  </si>
  <si>
    <t>2457</t>
  </si>
  <si>
    <t>4.17</t>
  </si>
  <si>
    <t>Biaya Premi Asuransi BMD</t>
  </si>
  <si>
    <t>2458</t>
  </si>
  <si>
    <t>4.18</t>
  </si>
  <si>
    <t>Biaya Premi Asuransi Non PNS</t>
  </si>
  <si>
    <t>2459</t>
  </si>
  <si>
    <t>4.19</t>
  </si>
  <si>
    <t>Biaya Outbond Karyawan</t>
  </si>
  <si>
    <t>2460</t>
  </si>
  <si>
    <t>4.20</t>
  </si>
  <si>
    <t>Biaya Perlengkapan dan Pemeriksaan Sanitasi</t>
  </si>
  <si>
    <t>Biaya Promosi</t>
  </si>
  <si>
    <t>2551</t>
  </si>
  <si>
    <t>Publikasi</t>
  </si>
  <si>
    <t>2661</t>
  </si>
  <si>
    <t>II</t>
  </si>
  <si>
    <t>BIAYA NON OPERASIONAL</t>
  </si>
  <si>
    <t>A. Biaya Administrasi Bank</t>
  </si>
  <si>
    <t>III</t>
  </si>
  <si>
    <t>BIAYA PENGELUARAN INVESTASI</t>
  </si>
  <si>
    <t>Pengeluaran Investasi</t>
  </si>
  <si>
    <t>3111</t>
  </si>
  <si>
    <t>Tanah</t>
  </si>
  <si>
    <t>3113</t>
  </si>
  <si>
    <t>1.3</t>
  </si>
  <si>
    <t>Pengeluaran peralatan dan mesin</t>
  </si>
  <si>
    <t>3112</t>
  </si>
  <si>
    <t>Pengeluaran pembangunan gedung</t>
  </si>
  <si>
    <t>3114</t>
  </si>
  <si>
    <t>1.4</t>
  </si>
  <si>
    <t>Pengeluaran jaringan</t>
  </si>
  <si>
    <t>3115</t>
  </si>
  <si>
    <t>1.5</t>
  </si>
  <si>
    <t>Pengeluaran Aset Lainnya</t>
  </si>
  <si>
    <t>TOTAL BIAYA</t>
  </si>
  <si>
    <t xml:space="preserve">Rekapitulasi : </t>
  </si>
  <si>
    <t>Belanja Pegawai</t>
  </si>
  <si>
    <t>Belanja Barang dan Jasa</t>
  </si>
  <si>
    <t>Belanja Modal</t>
  </si>
  <si>
    <t>JEPARA, 30 NOVEMBER 2016</t>
  </si>
  <si>
    <t>PEMIMPIN BLUD</t>
  </si>
  <si>
    <t>BENDAHARA PENGELUARAN BLUD</t>
  </si>
  <si>
    <t>RSUD KELET PROVINSI JAWA TENGAH</t>
  </si>
  <si>
    <t>DR. WIDYO KUNTO, M.Kes.MRS.</t>
  </si>
  <si>
    <t>SITI MUNJIATI, A.Md.</t>
  </si>
  <si>
    <t>Pembina Tk. I</t>
  </si>
  <si>
    <t>Pengatur Tk.I</t>
  </si>
  <si>
    <t>NIP. 19621116 199010 1 001</t>
  </si>
  <si>
    <t>NIP. 19881103 200903 2 001</t>
  </si>
  <si>
    <t>kebersihn</t>
  </si>
  <si>
    <t>Pemeliharaan</t>
  </si>
  <si>
    <t>Rak</t>
  </si>
  <si>
    <t>BPJS Kes 3 bulan</t>
  </si>
  <si>
    <t>Diklat</t>
  </si>
</sst>
</file>

<file path=xl/styles.xml><?xml version="1.0" encoding="utf-8"?>
<styleSheet xmlns="http://schemas.openxmlformats.org/spreadsheetml/2006/main">
  <numFmts count="5">
    <numFmt numFmtId="41" formatCode="_(* #,##0_);_(* \(#,##0\);_(* &quot;-&quot;_);_(@_)"/>
    <numFmt numFmtId="43" formatCode="_(* #,##0.00_);_(* \(#,##0.00\);_(* &quot;-&quot;??_);_(@_)"/>
    <numFmt numFmtId="164" formatCode="_(* #,##0.00_);_(* \(#,##0.00\);_(* \-??_);_(@_)"/>
    <numFmt numFmtId="165" formatCode="_(* #,##0_);_(* \(#,##0\);_(* \-_);_(@_)"/>
    <numFmt numFmtId="166" formatCode="[$-409]dddd\,\ mmmm\ dd\,\ yyyy"/>
  </numFmts>
  <fonts count="13">
    <font>
      <sz val="10"/>
      <name val="Arial"/>
    </font>
    <font>
      <sz val="10"/>
      <name val="Arial"/>
      <family val="2"/>
    </font>
    <font>
      <sz val="11"/>
      <name val="Times New Roman"/>
      <family val="1"/>
    </font>
    <font>
      <sz val="10"/>
      <name val="Times New Roman"/>
      <family val="1"/>
    </font>
    <font>
      <b/>
      <sz val="11"/>
      <name val="Times New Roman"/>
      <family val="1"/>
    </font>
    <font>
      <b/>
      <sz val="10"/>
      <name val="Times New Roman"/>
      <family val="1"/>
    </font>
    <font>
      <b/>
      <sz val="9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u/>
      <sz val="11"/>
      <name val="Times New Roman"/>
      <family val="1"/>
    </font>
    <font>
      <u/>
      <sz val="10"/>
      <color theme="10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1" fillId="0" borderId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164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41" fontId="11" fillId="0" borderId="0" applyFont="0" applyFill="0" applyBorder="0" applyAlignment="0" applyProtection="0"/>
    <xf numFmtId="166" fontId="1" fillId="0" borderId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1" fillId="0" borderId="0"/>
  </cellStyleXfs>
  <cellXfs count="82">
    <xf numFmtId="0" fontId="0" fillId="0" borderId="0" xfId="0"/>
    <xf numFmtId="49" fontId="2" fillId="0" borderId="0" xfId="1" applyNumberFormat="1" applyFont="1" applyFill="1" applyAlignment="1">
      <alignment horizontal="center"/>
    </xf>
    <xf numFmtId="0" fontId="3" fillId="0" borderId="0" xfId="1" applyFont="1" applyFill="1"/>
    <xf numFmtId="10" fontId="3" fillId="0" borderId="0" xfId="2" applyNumberFormat="1" applyFont="1" applyFill="1"/>
    <xf numFmtId="0" fontId="4" fillId="0" borderId="0" xfId="1" applyFont="1" applyFill="1" applyAlignment="1">
      <alignment horizontal="center"/>
    </xf>
    <xf numFmtId="49" fontId="4" fillId="0" borderId="0" xfId="1" applyNumberFormat="1" applyFont="1" applyFill="1" applyAlignment="1">
      <alignment horizontal="center"/>
    </xf>
    <xf numFmtId="0" fontId="4" fillId="0" borderId="0" xfId="1" applyFont="1" applyFill="1" applyAlignment="1"/>
    <xf numFmtId="10" fontId="4" fillId="0" borderId="0" xfId="2" applyNumberFormat="1" applyFont="1" applyFill="1" applyAlignment="1"/>
    <xf numFmtId="0" fontId="2" fillId="0" borderId="0" xfId="1" applyFont="1" applyFill="1"/>
    <xf numFmtId="41" fontId="3" fillId="0" borderId="0" xfId="1" applyNumberFormat="1" applyFont="1" applyFill="1"/>
    <xf numFmtId="41" fontId="5" fillId="0" borderId="0" xfId="1" applyNumberFormat="1" applyFont="1" applyFill="1"/>
    <xf numFmtId="49" fontId="4" fillId="0" borderId="1" xfId="1" applyNumberFormat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/>
    </xf>
    <xf numFmtId="10" fontId="5" fillId="0" borderId="2" xfId="2" applyNumberFormat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/>
    </xf>
    <xf numFmtId="10" fontId="5" fillId="0" borderId="3" xfId="2" applyNumberFormat="1" applyFont="1" applyFill="1" applyBorder="1" applyAlignment="1">
      <alignment horizontal="center" vertical="center"/>
    </xf>
    <xf numFmtId="0" fontId="5" fillId="0" borderId="4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/>
    </xf>
    <xf numFmtId="10" fontId="5" fillId="0" borderId="4" xfId="2" applyNumberFormat="1" applyFont="1" applyFill="1" applyBorder="1" applyAlignment="1">
      <alignment horizontal="center" vertical="center"/>
    </xf>
    <xf numFmtId="49" fontId="4" fillId="0" borderId="1" xfId="1" applyNumberFormat="1" applyFont="1" applyFill="1" applyBorder="1" applyAlignment="1">
      <alignment horizontal="center"/>
    </xf>
    <xf numFmtId="0" fontId="6" fillId="0" borderId="1" xfId="1" applyFont="1" applyFill="1" applyBorder="1" applyAlignment="1">
      <alignment horizontal="center"/>
    </xf>
    <xf numFmtId="0" fontId="6" fillId="0" borderId="1" xfId="1" applyFont="1" applyFill="1" applyBorder="1" applyAlignment="1">
      <alignment horizontal="center" vertical="center"/>
    </xf>
    <xf numFmtId="10" fontId="6" fillId="0" borderId="1" xfId="2" applyNumberFormat="1" applyFont="1" applyFill="1" applyBorder="1" applyAlignment="1">
      <alignment horizontal="center" vertical="center"/>
    </xf>
    <xf numFmtId="0" fontId="6" fillId="0" borderId="0" xfId="1" applyFont="1" applyFill="1" applyAlignment="1">
      <alignment horizontal="center"/>
    </xf>
    <xf numFmtId="49" fontId="4" fillId="0" borderId="5" xfId="0" applyNumberFormat="1" applyFont="1" applyFill="1" applyBorder="1" applyAlignment="1">
      <alignment horizontal="left"/>
    </xf>
    <xf numFmtId="49" fontId="4" fillId="0" borderId="6" xfId="0" applyNumberFormat="1" applyFont="1" applyFill="1" applyBorder="1" applyAlignment="1">
      <alignment horizontal="left"/>
    </xf>
    <xf numFmtId="49" fontId="4" fillId="0" borderId="6" xfId="0" applyNumberFormat="1" applyFont="1" applyFill="1" applyBorder="1" applyAlignment="1">
      <alignment horizontal="center"/>
    </xf>
    <xf numFmtId="49" fontId="4" fillId="0" borderId="7" xfId="0" applyNumberFormat="1" applyFont="1" applyFill="1" applyBorder="1"/>
    <xf numFmtId="41" fontId="4" fillId="0" borderId="1" xfId="3" applyFont="1" applyFill="1" applyBorder="1"/>
    <xf numFmtId="10" fontId="4" fillId="0" borderId="1" xfId="2" applyNumberFormat="1" applyFont="1" applyFill="1" applyBorder="1"/>
    <xf numFmtId="49" fontId="4" fillId="0" borderId="5" xfId="0" applyNumberFormat="1" applyFont="1" applyFill="1" applyBorder="1" applyAlignment="1">
      <alignment horizontal="left"/>
    </xf>
    <xf numFmtId="49" fontId="4" fillId="0" borderId="6" xfId="0" applyNumberFormat="1" applyFont="1" applyFill="1" applyBorder="1" applyAlignment="1">
      <alignment horizontal="left"/>
    </xf>
    <xf numFmtId="49" fontId="4" fillId="0" borderId="7" xfId="0" applyNumberFormat="1" applyFont="1" applyFill="1" applyBorder="1" applyAlignment="1">
      <alignment horizontal="left"/>
    </xf>
    <xf numFmtId="41" fontId="4" fillId="0" borderId="1" xfId="3" applyFont="1" applyFill="1" applyBorder="1" applyAlignment="1">
      <alignment horizontal="center"/>
    </xf>
    <xf numFmtId="0" fontId="5" fillId="0" borderId="0" xfId="1" applyFont="1" applyFill="1" applyAlignment="1">
      <alignment horizontal="center"/>
    </xf>
    <xf numFmtId="49" fontId="4" fillId="0" borderId="5" xfId="0" applyNumberFormat="1" applyFont="1" applyFill="1" applyBorder="1" applyAlignment="1">
      <alignment horizontal="center"/>
    </xf>
    <xf numFmtId="49" fontId="2" fillId="0" borderId="5" xfId="0" applyNumberFormat="1" applyFont="1" applyFill="1" applyBorder="1" applyAlignment="1">
      <alignment horizontal="center"/>
    </xf>
    <xf numFmtId="49" fontId="7" fillId="0" borderId="6" xfId="0" applyNumberFormat="1" applyFont="1" applyFill="1" applyBorder="1" applyAlignment="1">
      <alignment horizontal="center"/>
    </xf>
    <xf numFmtId="49" fontId="7" fillId="0" borderId="6" xfId="0" applyNumberFormat="1" applyFont="1" applyFill="1" applyBorder="1" applyAlignment="1">
      <alignment horizontal="left"/>
    </xf>
    <xf numFmtId="49" fontId="7" fillId="0" borderId="7" xfId="0" applyNumberFormat="1" applyFont="1" applyFill="1" applyBorder="1"/>
    <xf numFmtId="41" fontId="7" fillId="0" borderId="1" xfId="3" applyFont="1" applyFill="1" applyBorder="1"/>
    <xf numFmtId="10" fontId="7" fillId="0" borderId="1" xfId="2" applyNumberFormat="1" applyFont="1" applyFill="1" applyBorder="1"/>
    <xf numFmtId="49" fontId="8" fillId="0" borderId="6" xfId="0" applyNumberFormat="1" applyFont="1" applyFill="1" applyBorder="1" applyAlignment="1">
      <alignment horizontal="center"/>
    </xf>
    <xf numFmtId="49" fontId="8" fillId="0" borderId="6" xfId="0" applyNumberFormat="1" applyFont="1" applyFill="1" applyBorder="1" applyAlignment="1">
      <alignment horizontal="left"/>
    </xf>
    <xf numFmtId="49" fontId="8" fillId="0" borderId="7" xfId="0" applyNumberFormat="1" applyFont="1" applyFill="1" applyBorder="1"/>
    <xf numFmtId="41" fontId="8" fillId="0" borderId="1" xfId="3" applyFont="1" applyFill="1" applyBorder="1"/>
    <xf numFmtId="10" fontId="8" fillId="0" borderId="1" xfId="2" applyNumberFormat="1" applyFont="1" applyFill="1" applyBorder="1"/>
    <xf numFmtId="41" fontId="2" fillId="0" borderId="1" xfId="3" applyFont="1" applyFill="1" applyBorder="1"/>
    <xf numFmtId="41" fontId="7" fillId="0" borderId="1" xfId="3" applyFont="1" applyFill="1" applyBorder="1" applyAlignment="1">
      <alignment horizontal="center"/>
    </xf>
    <xf numFmtId="10" fontId="7" fillId="0" borderId="1" xfId="2" applyNumberFormat="1" applyFont="1" applyFill="1" applyBorder="1" applyAlignment="1">
      <alignment horizontal="center"/>
    </xf>
    <xf numFmtId="41" fontId="8" fillId="0" borderId="1" xfId="3" applyFont="1" applyFill="1" applyBorder="1" applyAlignment="1">
      <alignment horizontal="center"/>
    </xf>
    <xf numFmtId="10" fontId="8" fillId="0" borderId="1" xfId="2" applyNumberFormat="1" applyFont="1" applyFill="1" applyBorder="1" applyAlignment="1">
      <alignment horizontal="center"/>
    </xf>
    <xf numFmtId="49" fontId="7" fillId="0" borderId="6" xfId="0" quotePrefix="1" applyNumberFormat="1" applyFont="1" applyFill="1" applyBorder="1" applyAlignment="1">
      <alignment horizontal="center"/>
    </xf>
    <xf numFmtId="49" fontId="8" fillId="0" borderId="6" xfId="0" quotePrefix="1" applyNumberFormat="1" applyFont="1" applyFill="1" applyBorder="1" applyAlignment="1">
      <alignment horizontal="center"/>
    </xf>
    <xf numFmtId="49" fontId="8" fillId="0" borderId="6" xfId="0" quotePrefix="1" applyNumberFormat="1" applyFont="1" applyFill="1" applyBorder="1" applyAlignment="1">
      <alignment horizontal="left"/>
    </xf>
    <xf numFmtId="0" fontId="8" fillId="0" borderId="6" xfId="0" applyFont="1" applyFill="1" applyBorder="1"/>
    <xf numFmtId="0" fontId="8" fillId="0" borderId="7" xfId="0" applyFont="1" applyFill="1" applyBorder="1"/>
    <xf numFmtId="49" fontId="7" fillId="0" borderId="6" xfId="0" quotePrefix="1" applyNumberFormat="1" applyFont="1" applyFill="1" applyBorder="1" applyAlignment="1">
      <alignment horizontal="left"/>
    </xf>
    <xf numFmtId="49" fontId="8" fillId="0" borderId="6" xfId="0" applyNumberFormat="1" applyFont="1" applyFill="1" applyBorder="1" applyAlignment="1"/>
    <xf numFmtId="49" fontId="2" fillId="0" borderId="6" xfId="0" applyNumberFormat="1" applyFont="1" applyFill="1" applyBorder="1" applyAlignment="1"/>
    <xf numFmtId="41" fontId="2" fillId="0" borderId="1" xfId="3" applyFont="1" applyFill="1" applyBorder="1" applyAlignment="1">
      <alignment horizontal="center"/>
    </xf>
    <xf numFmtId="49" fontId="4" fillId="0" borderId="1" xfId="3" applyNumberFormat="1" applyFont="1" applyFill="1" applyBorder="1" applyAlignment="1">
      <alignment horizontal="center"/>
    </xf>
    <xf numFmtId="49" fontId="2" fillId="0" borderId="1" xfId="1" applyNumberFormat="1" applyFont="1" applyFill="1" applyBorder="1" applyAlignment="1">
      <alignment horizontal="center"/>
    </xf>
    <xf numFmtId="0" fontId="4" fillId="0" borderId="5" xfId="1" applyFont="1" applyFill="1" applyBorder="1" applyAlignment="1">
      <alignment horizontal="center"/>
    </xf>
    <xf numFmtId="0" fontId="4" fillId="0" borderId="6" xfId="1" applyFont="1" applyFill="1" applyBorder="1" applyAlignment="1">
      <alignment horizontal="center"/>
    </xf>
    <xf numFmtId="0" fontId="4" fillId="0" borderId="7" xfId="1" applyFont="1" applyFill="1" applyBorder="1" applyAlignment="1">
      <alignment horizontal="center"/>
    </xf>
    <xf numFmtId="49" fontId="4" fillId="0" borderId="1" xfId="1" applyNumberFormat="1" applyFont="1" applyFill="1" applyBorder="1" applyAlignment="1">
      <alignment horizontal="left"/>
    </xf>
    <xf numFmtId="0" fontId="4" fillId="0" borderId="0" xfId="1" applyFont="1" applyFill="1" applyBorder="1" applyAlignment="1">
      <alignment horizontal="center"/>
    </xf>
    <xf numFmtId="41" fontId="7" fillId="0" borderId="0" xfId="3" applyFont="1" applyFill="1" applyBorder="1" applyAlignment="1">
      <alignment horizontal="center"/>
    </xf>
    <xf numFmtId="10" fontId="7" fillId="0" borderId="0" xfId="2" applyNumberFormat="1" applyFont="1" applyFill="1" applyBorder="1" applyAlignment="1">
      <alignment horizontal="center"/>
    </xf>
    <xf numFmtId="0" fontId="4" fillId="0" borderId="0" xfId="1" applyFont="1" applyFill="1"/>
    <xf numFmtId="0" fontId="4" fillId="0" borderId="0" xfId="1" applyFont="1" applyFill="1" applyAlignment="1">
      <alignment horizontal="center"/>
    </xf>
    <xf numFmtId="10" fontId="4" fillId="0" borderId="0" xfId="2" applyNumberFormat="1" applyFont="1" applyFill="1"/>
    <xf numFmtId="41" fontId="4" fillId="0" borderId="0" xfId="1" applyNumberFormat="1" applyFont="1" applyFill="1"/>
    <xf numFmtId="0" fontId="9" fillId="0" borderId="0" xfId="1" applyFont="1" applyFill="1" applyBorder="1" applyAlignment="1">
      <alignment horizontal="center"/>
    </xf>
    <xf numFmtId="0" fontId="9" fillId="0" borderId="0" xfId="1" applyFont="1" applyFill="1" applyAlignment="1">
      <alignment horizontal="center"/>
    </xf>
    <xf numFmtId="41" fontId="3" fillId="0" borderId="0" xfId="3" applyFont="1" applyFill="1"/>
    <xf numFmtId="0" fontId="10" fillId="0" borderId="0" xfId="4" applyFill="1" applyAlignment="1" applyProtection="1"/>
    <xf numFmtId="3" fontId="3" fillId="0" borderId="0" xfId="1" applyNumberFormat="1" applyFont="1" applyFill="1"/>
  </cellXfs>
  <cellStyles count="13">
    <cellStyle name="Comma [0] 2" xfId="5"/>
    <cellStyle name="Comma [0] 3" xfId="3"/>
    <cellStyle name="Comma [0] 3 3" xfId="6"/>
    <cellStyle name="Comma [0] 4" xfId="7"/>
    <cellStyle name="Comma [0] 5" xfId="8"/>
    <cellStyle name="Comma 2" xfId="9"/>
    <cellStyle name="Comma 3" xfId="10"/>
    <cellStyle name="Comma 4" xfId="11"/>
    <cellStyle name="Hyperlink" xfId="4" builtinId="8"/>
    <cellStyle name="Normal" xfId="0" builtinId="0"/>
    <cellStyle name="Normal 2" xfId="1"/>
    <cellStyle name="Normal 3" xfId="12"/>
    <cellStyle name="Percent 2" xfId="2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609600</xdr:colOff>
      <xdr:row>1</xdr:row>
      <xdr:rowOff>57150</xdr:rowOff>
    </xdr:from>
    <xdr:to>
      <xdr:col>6</xdr:col>
      <xdr:colOff>1485900</xdr:colOff>
      <xdr:row>6</xdr:row>
      <xdr:rowOff>85725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66975" y="314325"/>
          <a:ext cx="876300" cy="933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76200</xdr:colOff>
      <xdr:row>0</xdr:row>
      <xdr:rowOff>66675</xdr:rowOff>
    </xdr:from>
    <xdr:to>
      <xdr:col>11</xdr:col>
      <xdr:colOff>971550</xdr:colOff>
      <xdr:row>2</xdr:row>
      <xdr:rowOff>85725</xdr:rowOff>
    </xdr:to>
    <xdr:sp macro="" textlink="">
      <xdr:nvSpPr>
        <xdr:cNvPr id="3" name="AutoShape 2"/>
        <xdr:cNvSpPr>
          <a:spLocks noChangeArrowheads="1"/>
        </xdr:cNvSpPr>
      </xdr:nvSpPr>
      <xdr:spPr bwMode="auto">
        <a:xfrm>
          <a:off x="8905875" y="66675"/>
          <a:ext cx="895350" cy="457200"/>
        </a:xfrm>
        <a:prstGeom prst="roundRect">
          <a:avLst>
            <a:gd name="adj" fmla="val 39583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lnSpc>
              <a:spcPts val="1700"/>
            </a:lnSpc>
            <a:defRPr sz="1000"/>
          </a:pPr>
          <a:r>
            <a:rPr lang="en-US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B.12.4</a:t>
          </a:r>
          <a:endParaRPr lang="en-US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lnSpc>
              <a:spcPts val="1700"/>
            </a:lnSpc>
            <a:defRPr sz="1000"/>
          </a:pPr>
          <a:endParaRPr lang="en-US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6%20-%20blud/BKU%20BLUD%202016/11%20BKU%20BLUD%20November%202016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erjL 3"/>
      <sheetName val="Sort"/>
      <sheetName val="Pengumpul"/>
      <sheetName val="Buku Harian"/>
      <sheetName val="Buku Pajak"/>
      <sheetName val="Buku Penarikan Bank"/>
      <sheetName val="Posting"/>
      <sheetName val="Lap.Biaya (2)"/>
      <sheetName val="Lap.Biaya"/>
      <sheetName val="setor pjak"/>
      <sheetName val="Estimasi sd Des"/>
      <sheetName val="Estimasi sd Des (2)"/>
      <sheetName val="buku bantu tunai"/>
      <sheetName val="Setor Pajak"/>
      <sheetName val="DEal"/>
      <sheetName val="Sheet2"/>
      <sheetName val="Anis"/>
      <sheetName val="Estimasi s.d. des"/>
    </sheetNames>
    <sheetDataSet>
      <sheetData sheetId="0" refreshError="1"/>
      <sheetData sheetId="1" refreshError="1"/>
      <sheetData sheetId="2" refreshError="1"/>
      <sheetData sheetId="3" refreshError="1">
        <row r="4">
          <cell r="A4" t="str">
            <v>BULAN NOVEMBER 2016</v>
          </cell>
        </row>
      </sheetData>
      <sheetData sheetId="4" refreshError="1"/>
      <sheetData sheetId="5" refreshError="1"/>
      <sheetData sheetId="6">
        <row r="5">
          <cell r="N5">
            <v>21894783996</v>
          </cell>
        </row>
        <row r="11">
          <cell r="N11">
            <v>6031383333</v>
          </cell>
          <cell r="O11">
            <v>788830000</v>
          </cell>
        </row>
        <row r="18">
          <cell r="N18">
            <v>439509134</v>
          </cell>
          <cell r="O18">
            <v>1248169584</v>
          </cell>
        </row>
        <row r="19">
          <cell r="N19">
            <v>0</v>
          </cell>
          <cell r="O19">
            <v>0</v>
          </cell>
        </row>
        <row r="20">
          <cell r="N20">
            <v>387743815</v>
          </cell>
          <cell r="O20">
            <v>115860679</v>
          </cell>
        </row>
        <row r="21">
          <cell r="N21">
            <v>23375000</v>
          </cell>
          <cell r="O21">
            <v>0</v>
          </cell>
        </row>
        <row r="22">
          <cell r="N22">
            <v>97135000</v>
          </cell>
          <cell r="O22">
            <v>0</v>
          </cell>
        </row>
        <row r="23">
          <cell r="N23">
            <v>62576605</v>
          </cell>
          <cell r="O23">
            <v>7780500</v>
          </cell>
        </row>
        <row r="26">
          <cell r="N26">
            <v>2775780882</v>
          </cell>
          <cell r="O26">
            <v>771085912</v>
          </cell>
          <cell r="P26">
            <v>3546866794</v>
          </cell>
        </row>
        <row r="37">
          <cell r="N37">
            <v>9500000</v>
          </cell>
          <cell r="O37">
            <v>0</v>
          </cell>
        </row>
        <row r="38">
          <cell r="N38">
            <v>67885342</v>
          </cell>
          <cell r="O38">
            <v>12531888</v>
          </cell>
        </row>
        <row r="41">
          <cell r="N41">
            <v>0</v>
          </cell>
          <cell r="O41">
            <v>0</v>
          </cell>
        </row>
        <row r="42">
          <cell r="N42">
            <v>81012500</v>
          </cell>
          <cell r="O42">
            <v>0</v>
          </cell>
        </row>
        <row r="43">
          <cell r="N43">
            <v>321299000</v>
          </cell>
          <cell r="O43">
            <v>23670000</v>
          </cell>
        </row>
        <row r="45">
          <cell r="N45">
            <v>124800091</v>
          </cell>
          <cell r="O45">
            <v>20997400</v>
          </cell>
          <cell r="P45">
            <v>145797491</v>
          </cell>
          <cell r="S45">
            <v>20997400</v>
          </cell>
        </row>
        <row r="46">
          <cell r="N46">
            <v>70900091</v>
          </cell>
          <cell r="O46">
            <v>5597400</v>
          </cell>
        </row>
        <row r="47">
          <cell r="N47">
            <v>53900000</v>
          </cell>
          <cell r="O47">
            <v>15400000</v>
          </cell>
        </row>
        <row r="51">
          <cell r="N51">
            <v>441685000</v>
          </cell>
          <cell r="O51">
            <v>31225000</v>
          </cell>
        </row>
        <row r="60">
          <cell r="N60">
            <v>22820000</v>
          </cell>
          <cell r="O60">
            <v>2480000</v>
          </cell>
        </row>
        <row r="63">
          <cell r="N63">
            <v>8955980</v>
          </cell>
          <cell r="O63">
            <v>6003050</v>
          </cell>
        </row>
        <row r="67">
          <cell r="N67">
            <v>240638297</v>
          </cell>
          <cell r="O67">
            <v>11849035</v>
          </cell>
        </row>
        <row r="68">
          <cell r="N68">
            <v>83705880</v>
          </cell>
          <cell r="O68">
            <v>14603540</v>
          </cell>
        </row>
        <row r="69">
          <cell r="N69">
            <v>0</v>
          </cell>
          <cell r="O69">
            <v>0</v>
          </cell>
        </row>
        <row r="70">
          <cell r="N70">
            <v>158900500</v>
          </cell>
          <cell r="O70">
            <v>47315400</v>
          </cell>
        </row>
        <row r="78">
          <cell r="N78">
            <v>73785500</v>
          </cell>
          <cell r="O78">
            <v>22763500</v>
          </cell>
        </row>
        <row r="83">
          <cell r="N83">
            <v>0</v>
          </cell>
          <cell r="O83">
            <v>0</v>
          </cell>
        </row>
        <row r="84">
          <cell r="N84">
            <v>0</v>
          </cell>
          <cell r="O84">
            <v>0</v>
          </cell>
        </row>
        <row r="85">
          <cell r="N85">
            <v>1257305250</v>
          </cell>
          <cell r="O85">
            <v>213100500</v>
          </cell>
        </row>
        <row r="87">
          <cell r="N87">
            <v>245480850</v>
          </cell>
          <cell r="O87">
            <v>29560250</v>
          </cell>
        </row>
        <row r="93">
          <cell r="N93">
            <v>1401203400</v>
          </cell>
          <cell r="O93">
            <v>29315500</v>
          </cell>
        </row>
        <row r="101">
          <cell r="N101">
            <v>0</v>
          </cell>
          <cell r="O101">
            <v>0</v>
          </cell>
        </row>
        <row r="105">
          <cell r="N105">
            <v>326080751</v>
          </cell>
          <cell r="O105">
            <v>73276494</v>
          </cell>
        </row>
        <row r="111">
          <cell r="N111">
            <v>5325000</v>
          </cell>
          <cell r="O111">
            <v>0</v>
          </cell>
        </row>
        <row r="116">
          <cell r="N116">
            <v>18211195</v>
          </cell>
          <cell r="O116">
            <v>1373500</v>
          </cell>
        </row>
        <row r="117">
          <cell r="N117">
            <v>245303267</v>
          </cell>
          <cell r="O117">
            <v>30316645</v>
          </cell>
        </row>
        <row r="118">
          <cell r="N118">
            <v>99291627</v>
          </cell>
          <cell r="O118">
            <v>18452516</v>
          </cell>
        </row>
        <row r="125">
          <cell r="N125">
            <v>0</v>
          </cell>
          <cell r="O125">
            <v>0</v>
          </cell>
        </row>
        <row r="126">
          <cell r="N126">
            <v>122539077</v>
          </cell>
          <cell r="O126">
            <v>31546544</v>
          </cell>
        </row>
        <row r="127">
          <cell r="N127">
            <v>71503000</v>
          </cell>
          <cell r="O127">
            <v>0</v>
          </cell>
        </row>
        <row r="132">
          <cell r="N132">
            <v>1015941494</v>
          </cell>
          <cell r="O132">
            <v>106958232</v>
          </cell>
        </row>
        <row r="137">
          <cell r="N137">
            <v>12026000</v>
          </cell>
          <cell r="O137">
            <v>610000</v>
          </cell>
        </row>
        <row r="143">
          <cell r="N143">
            <v>135715030</v>
          </cell>
          <cell r="O143">
            <v>19209500</v>
          </cell>
        </row>
        <row r="144">
          <cell r="N144">
            <v>14157500</v>
          </cell>
          <cell r="O144">
            <v>0</v>
          </cell>
        </row>
        <row r="145">
          <cell r="N145">
            <v>16935000</v>
          </cell>
          <cell r="O145">
            <v>810000</v>
          </cell>
        </row>
        <row r="146">
          <cell r="N146">
            <v>122859961</v>
          </cell>
          <cell r="O146">
            <v>8115906</v>
          </cell>
        </row>
        <row r="147">
          <cell r="N147">
            <v>11832513</v>
          </cell>
          <cell r="O147">
            <v>1782500</v>
          </cell>
        </row>
        <row r="148">
          <cell r="N148">
            <v>721115000</v>
          </cell>
          <cell r="O148">
            <v>192550000</v>
          </cell>
        </row>
        <row r="149">
          <cell r="N149">
            <v>255520261</v>
          </cell>
          <cell r="O149">
            <v>25507500</v>
          </cell>
        </row>
        <row r="159">
          <cell r="N159">
            <v>19257500</v>
          </cell>
          <cell r="O159">
            <v>0</v>
          </cell>
        </row>
        <row r="160">
          <cell r="N160">
            <v>0</v>
          </cell>
          <cell r="O160">
            <v>0</v>
          </cell>
        </row>
        <row r="161">
          <cell r="N161">
            <v>247123088</v>
          </cell>
          <cell r="O161">
            <v>88009008</v>
          </cell>
        </row>
        <row r="164">
          <cell r="N164">
            <v>677250000</v>
          </cell>
          <cell r="O164">
            <v>0</v>
          </cell>
        </row>
        <row r="165">
          <cell r="N165">
            <v>44841000</v>
          </cell>
          <cell r="O165">
            <v>3444000</v>
          </cell>
        </row>
        <row r="170">
          <cell r="N170">
            <v>394997081</v>
          </cell>
          <cell r="O170">
            <v>34990000</v>
          </cell>
        </row>
        <row r="177">
          <cell r="N177">
            <v>7060000</v>
          </cell>
          <cell r="O177">
            <v>0</v>
          </cell>
          <cell r="P177">
            <v>7060000</v>
          </cell>
        </row>
        <row r="179">
          <cell r="N179">
            <v>22382390</v>
          </cell>
          <cell r="O179">
            <v>2052826</v>
          </cell>
        </row>
        <row r="185">
          <cell r="O185">
            <v>0</v>
          </cell>
        </row>
        <row r="186">
          <cell r="N186">
            <v>1263493000</v>
          </cell>
          <cell r="O186">
            <v>0</v>
          </cell>
        </row>
        <row r="187">
          <cell r="N187">
            <v>1279163902</v>
          </cell>
          <cell r="O187">
            <v>9025000</v>
          </cell>
        </row>
        <row r="188">
          <cell r="N188">
            <v>282878000</v>
          </cell>
          <cell r="O188">
            <v>319677100</v>
          </cell>
        </row>
        <row r="189">
          <cell r="N189">
            <v>105500000</v>
          </cell>
          <cell r="O189">
            <v>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10">
          <cell r="F10">
            <v>1486091667</v>
          </cell>
        </row>
        <row r="11">
          <cell r="F11">
            <v>10094133</v>
          </cell>
        </row>
        <row r="12">
          <cell r="F12">
            <v>400262998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36"/>
  <sheetViews>
    <sheetView tabSelected="1" view="pageBreakPreview" zoomScaleSheetLayoutView="100" workbookViewId="0">
      <pane xSplit="7" ySplit="12" topLeftCell="H13" activePane="bottomRight" state="frozen"/>
      <selection pane="topRight" activeCell="H1" sqref="H1"/>
      <selection pane="bottomLeft" activeCell="A13" sqref="A13"/>
      <selection pane="bottomRight" activeCell="L107" sqref="L107"/>
    </sheetView>
  </sheetViews>
  <sheetFormatPr defaultRowHeight="15"/>
  <cols>
    <col min="1" max="1" width="6.42578125" style="1" customWidth="1"/>
    <col min="2" max="2" width="5.42578125" style="2" customWidth="1"/>
    <col min="3" max="3" width="2.7109375" style="2" customWidth="1"/>
    <col min="4" max="4" width="5.7109375" style="2" customWidth="1"/>
    <col min="5" max="5" width="4" style="2" customWidth="1"/>
    <col min="6" max="6" width="3.5703125" style="2" customWidth="1"/>
    <col min="7" max="7" width="38.7109375" style="2" customWidth="1"/>
    <col min="8" max="8" width="16.85546875" style="2" customWidth="1"/>
    <col min="9" max="9" width="16.5703125" style="2" customWidth="1"/>
    <col min="10" max="10" width="15.7109375" style="2" customWidth="1"/>
    <col min="11" max="12" width="16.7109375" style="2" customWidth="1"/>
    <col min="13" max="13" width="10.42578125" style="3" customWidth="1"/>
    <col min="14" max="16" width="16.7109375" style="2" customWidth="1"/>
    <col min="17" max="17" width="10.42578125" style="3" customWidth="1"/>
    <col min="18" max="18" width="12" style="2" bestFit="1" customWidth="1"/>
    <col min="19" max="19" width="14" style="2" customWidth="1"/>
    <col min="20" max="16384" width="9.140625" style="2"/>
  </cols>
  <sheetData>
    <row r="1" spans="1:17" ht="20.45" customHeight="1"/>
    <row r="2" spans="1:17" ht="14.25">
      <c r="A2" s="4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Q2" s="2"/>
    </row>
    <row r="3" spans="1:17" ht="14.25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Q3" s="2"/>
    </row>
    <row r="4" spans="1:17" ht="14.25">
      <c r="A4" s="4" t="s">
        <v>2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Q4" s="2"/>
    </row>
    <row r="5" spans="1:17" ht="14.25">
      <c r="A5" s="4" t="str">
        <f>+'[1]Buku Harian'!A4:H4</f>
        <v>BULAN NOVEMBER 2016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Q5" s="2"/>
    </row>
    <row r="6" spans="1:17" ht="14.25">
      <c r="A6" s="5" t="s">
        <v>3</v>
      </c>
      <c r="B6" s="6" t="s">
        <v>3</v>
      </c>
      <c r="C6" s="6" t="s">
        <v>3</v>
      </c>
      <c r="D6" s="6" t="s">
        <v>3</v>
      </c>
      <c r="E6" s="6" t="s">
        <v>3</v>
      </c>
      <c r="F6" s="6" t="s">
        <v>3</v>
      </c>
      <c r="G6" s="6"/>
      <c r="H6" s="6"/>
      <c r="I6" s="6"/>
      <c r="J6" s="6"/>
      <c r="K6" s="6"/>
      <c r="L6" s="6"/>
      <c r="M6" s="7"/>
      <c r="N6" s="6"/>
      <c r="O6" s="6"/>
      <c r="P6" s="6"/>
      <c r="Q6" s="7"/>
    </row>
    <row r="7" spans="1:17">
      <c r="B7" s="8"/>
      <c r="C7" s="8"/>
      <c r="D7" s="8"/>
      <c r="E7" s="8"/>
      <c r="F7" s="8"/>
      <c r="H7" s="9">
        <f>33019460000-H13</f>
        <v>0</v>
      </c>
      <c r="K7" s="9"/>
      <c r="L7" s="10"/>
      <c r="N7" s="10"/>
      <c r="O7" s="10"/>
      <c r="P7" s="10"/>
    </row>
    <row r="8" spans="1:17" ht="12.75" customHeight="1">
      <c r="A8" s="11" t="s">
        <v>4</v>
      </c>
      <c r="B8" s="12" t="s">
        <v>5</v>
      </c>
      <c r="C8" s="12"/>
      <c r="D8" s="12"/>
      <c r="E8" s="12"/>
      <c r="F8" s="12"/>
      <c r="G8" s="12"/>
      <c r="H8" s="13" t="s">
        <v>6</v>
      </c>
      <c r="I8" s="13" t="s">
        <v>7</v>
      </c>
      <c r="J8" s="13" t="s">
        <v>8</v>
      </c>
      <c r="K8" s="13" t="s">
        <v>9</v>
      </c>
      <c r="L8" s="14" t="s">
        <v>10</v>
      </c>
      <c r="M8" s="15" t="s">
        <v>11</v>
      </c>
      <c r="N8" s="14" t="s">
        <v>12</v>
      </c>
      <c r="O8" s="14" t="s">
        <v>13</v>
      </c>
      <c r="P8" s="14" t="s">
        <v>14</v>
      </c>
      <c r="Q8" s="15" t="s">
        <v>11</v>
      </c>
    </row>
    <row r="9" spans="1:17" ht="12.75">
      <c r="A9" s="11"/>
      <c r="B9" s="12"/>
      <c r="C9" s="12"/>
      <c r="D9" s="12"/>
      <c r="E9" s="12"/>
      <c r="F9" s="12"/>
      <c r="G9" s="12"/>
      <c r="H9" s="16"/>
      <c r="I9" s="16"/>
      <c r="J9" s="16"/>
      <c r="K9" s="16"/>
      <c r="L9" s="17"/>
      <c r="M9" s="18"/>
      <c r="N9" s="17"/>
      <c r="O9" s="17"/>
      <c r="P9" s="17"/>
      <c r="Q9" s="18"/>
    </row>
    <row r="10" spans="1:17" ht="12.75">
      <c r="A10" s="11"/>
      <c r="B10" s="12"/>
      <c r="C10" s="12"/>
      <c r="D10" s="12"/>
      <c r="E10" s="12"/>
      <c r="F10" s="12"/>
      <c r="G10" s="12"/>
      <c r="H10" s="16"/>
      <c r="I10" s="16"/>
      <c r="J10" s="16"/>
      <c r="K10" s="16"/>
      <c r="L10" s="17"/>
      <c r="M10" s="18"/>
      <c r="N10" s="17"/>
      <c r="O10" s="17"/>
      <c r="P10" s="17"/>
      <c r="Q10" s="18"/>
    </row>
    <row r="11" spans="1:17" ht="12.75">
      <c r="A11" s="11"/>
      <c r="B11" s="12"/>
      <c r="C11" s="12"/>
      <c r="D11" s="12"/>
      <c r="E11" s="12"/>
      <c r="F11" s="12"/>
      <c r="G11" s="12"/>
      <c r="H11" s="19"/>
      <c r="I11" s="19"/>
      <c r="J11" s="19"/>
      <c r="K11" s="19"/>
      <c r="L11" s="20"/>
      <c r="M11" s="21"/>
      <c r="N11" s="20"/>
      <c r="O11" s="20"/>
      <c r="P11" s="20"/>
      <c r="Q11" s="21"/>
    </row>
    <row r="12" spans="1:17" s="26" customFormat="1" ht="14.25">
      <c r="A12" s="22">
        <v>1</v>
      </c>
      <c r="B12" s="23">
        <v>2</v>
      </c>
      <c r="C12" s="23"/>
      <c r="D12" s="23"/>
      <c r="E12" s="23"/>
      <c r="F12" s="23"/>
      <c r="G12" s="23"/>
      <c r="H12" s="24">
        <v>3</v>
      </c>
      <c r="I12" s="24">
        <v>4</v>
      </c>
      <c r="J12" s="24">
        <v>5</v>
      </c>
      <c r="K12" s="24" t="s">
        <v>15</v>
      </c>
      <c r="L12" s="24" t="s">
        <v>16</v>
      </c>
      <c r="M12" s="25" t="s">
        <v>17</v>
      </c>
      <c r="N12" s="24"/>
      <c r="O12" s="24"/>
      <c r="P12" s="24"/>
      <c r="Q12" s="25"/>
    </row>
    <row r="13" spans="1:17" s="26" customFormat="1" ht="14.25">
      <c r="A13" s="22"/>
      <c r="B13" s="27" t="s">
        <v>18</v>
      </c>
      <c r="C13" s="28"/>
      <c r="D13" s="29"/>
      <c r="E13" s="29"/>
      <c r="F13" s="29"/>
      <c r="G13" s="30"/>
      <c r="H13" s="31">
        <v>33019460000</v>
      </c>
      <c r="I13" s="31">
        <f>+I100</f>
        <v>21894783996</v>
      </c>
      <c r="J13" s="31">
        <f>+J100</f>
        <v>4364849009</v>
      </c>
      <c r="K13" s="31">
        <f>+K100</f>
        <v>26259633005</v>
      </c>
      <c r="L13" s="31">
        <f>+H13-K13</f>
        <v>6759826995</v>
      </c>
      <c r="M13" s="32">
        <f>+K13/H13</f>
        <v>0.7952774819757803</v>
      </c>
      <c r="N13" s="31">
        <f t="shared" ref="N13:P13" si="0">+N100</f>
        <v>6298465000</v>
      </c>
      <c r="O13" s="31">
        <f t="shared" si="0"/>
        <v>32558098005</v>
      </c>
      <c r="P13" s="31">
        <f t="shared" si="0"/>
        <v>461361995</v>
      </c>
      <c r="Q13" s="32">
        <f>+O13/H13</f>
        <v>0.98602757298271992</v>
      </c>
    </row>
    <row r="14" spans="1:17" s="37" customFormat="1" ht="14.25">
      <c r="A14" s="22"/>
      <c r="B14" s="33"/>
      <c r="C14" s="34"/>
      <c r="D14" s="34"/>
      <c r="E14" s="34"/>
      <c r="F14" s="34"/>
      <c r="G14" s="35"/>
      <c r="H14" s="36"/>
      <c r="I14" s="36"/>
      <c r="J14" s="36"/>
      <c r="K14" s="36"/>
      <c r="L14" s="36">
        <f t="shared" ref="L14:L77" si="1">+H14-K14</f>
        <v>0</v>
      </c>
      <c r="M14" s="32"/>
      <c r="N14" s="36"/>
      <c r="O14" s="36"/>
      <c r="P14" s="36"/>
      <c r="Q14" s="32" t="e">
        <f t="shared" ref="Q14:Q77" si="2">+O14/H14</f>
        <v>#DIV/0!</v>
      </c>
    </row>
    <row r="15" spans="1:17" s="26" customFormat="1" ht="14.25">
      <c r="A15" s="22" t="s">
        <v>19</v>
      </c>
      <c r="B15" s="27" t="s">
        <v>20</v>
      </c>
      <c r="C15" s="28"/>
      <c r="D15" s="29"/>
      <c r="E15" s="29"/>
      <c r="F15" s="29"/>
      <c r="G15" s="30"/>
      <c r="H15" s="31">
        <v>27381434000</v>
      </c>
      <c r="I15" s="31">
        <f>+I17+I39</f>
        <v>18941366704</v>
      </c>
      <c r="J15" s="31">
        <f>+J17+J39</f>
        <v>4034094083</v>
      </c>
      <c r="K15" s="31">
        <f>+K17+K39</f>
        <v>22975460787</v>
      </c>
      <c r="L15" s="31">
        <f t="shared" si="1"/>
        <v>4405973213</v>
      </c>
      <c r="M15" s="32">
        <f t="shared" ref="M15:M78" si="3">+K15/H15</f>
        <v>0.8390890260532009</v>
      </c>
      <c r="N15" s="31">
        <f t="shared" ref="N15:P15" si="4">+N17+N39</f>
        <v>4341965000</v>
      </c>
      <c r="O15" s="31">
        <f t="shared" si="4"/>
        <v>27317425787</v>
      </c>
      <c r="P15" s="31">
        <f t="shared" si="4"/>
        <v>64008213</v>
      </c>
      <c r="Q15" s="32">
        <f t="shared" si="2"/>
        <v>0.99766234986085822</v>
      </c>
    </row>
    <row r="16" spans="1:17" ht="14.25">
      <c r="A16" s="22"/>
      <c r="B16" s="38"/>
      <c r="C16" s="29"/>
      <c r="D16" s="29"/>
      <c r="E16" s="29"/>
      <c r="F16" s="29"/>
      <c r="G16" s="30"/>
      <c r="H16" s="31"/>
      <c r="I16" s="31" t="s">
        <v>3</v>
      </c>
      <c r="J16" s="31"/>
      <c r="K16" s="31"/>
      <c r="L16" s="31">
        <f t="shared" si="1"/>
        <v>0</v>
      </c>
      <c r="M16" s="32"/>
      <c r="N16" s="31"/>
      <c r="O16" s="31"/>
      <c r="P16" s="31"/>
      <c r="Q16" s="32" t="e">
        <f t="shared" si="2"/>
        <v>#DIV/0!</v>
      </c>
    </row>
    <row r="17" spans="1:18" ht="14.25">
      <c r="A17" s="22"/>
      <c r="B17" s="38" t="s">
        <v>21</v>
      </c>
      <c r="C17" s="28" t="s">
        <v>22</v>
      </c>
      <c r="D17" s="29"/>
      <c r="E17" s="29"/>
      <c r="F17" s="29"/>
      <c r="G17" s="30"/>
      <c r="H17" s="31">
        <v>16859858000</v>
      </c>
      <c r="I17" s="31">
        <f>+I18+I20+I27+I28+I31+I35</f>
        <v>10422000702</v>
      </c>
      <c r="J17" s="31">
        <f>+J18+J20+J27+J28+J31+J35</f>
        <v>2988925963</v>
      </c>
      <c r="K17" s="31">
        <f>+K18+K20+K27+K28+K31+K35</f>
        <v>13410926665</v>
      </c>
      <c r="L17" s="31">
        <f t="shared" si="1"/>
        <v>3448931335</v>
      </c>
      <c r="M17" s="32">
        <f t="shared" si="3"/>
        <v>0.79543532721331345</v>
      </c>
      <c r="N17" s="31">
        <f t="shared" ref="N17:P17" si="5">+N18+N20+N27+N28+N31+N35</f>
        <v>3108786848</v>
      </c>
      <c r="O17" s="31">
        <f t="shared" si="5"/>
        <v>16519713513</v>
      </c>
      <c r="P17" s="31">
        <f t="shared" si="5"/>
        <v>340144487</v>
      </c>
      <c r="Q17" s="32">
        <f t="shared" si="2"/>
        <v>0.97982518672458574</v>
      </c>
    </row>
    <row r="18" spans="1:18">
      <c r="A18" s="22"/>
      <c r="B18" s="39"/>
      <c r="C18" s="40" t="s">
        <v>23</v>
      </c>
      <c r="D18" s="41" t="s">
        <v>24</v>
      </c>
      <c r="E18" s="40"/>
      <c r="F18" s="40"/>
      <c r="G18" s="42"/>
      <c r="H18" s="43">
        <v>8767300000</v>
      </c>
      <c r="I18" s="43">
        <f>+I19</f>
        <v>6031383333</v>
      </c>
      <c r="J18" s="43">
        <f>+J19</f>
        <v>788830000</v>
      </c>
      <c r="K18" s="43">
        <f>+K19</f>
        <v>6820213333</v>
      </c>
      <c r="L18" s="43">
        <f t="shared" si="1"/>
        <v>1947086667</v>
      </c>
      <c r="M18" s="44">
        <f t="shared" si="3"/>
        <v>0.77791490344803993</v>
      </c>
      <c r="N18" s="43">
        <f t="shared" ref="N18:P18" si="6">+N19</f>
        <v>1324640000</v>
      </c>
      <c r="O18" s="43">
        <f t="shared" si="6"/>
        <v>8144853333</v>
      </c>
      <c r="P18" s="43">
        <f t="shared" si="6"/>
        <v>622446667</v>
      </c>
      <c r="Q18" s="44">
        <f t="shared" si="2"/>
        <v>0.92900360806633742</v>
      </c>
    </row>
    <row r="19" spans="1:18">
      <c r="A19" s="22">
        <v>1111</v>
      </c>
      <c r="B19" s="39"/>
      <c r="C19" s="45"/>
      <c r="D19" s="45" t="s">
        <v>25</v>
      </c>
      <c r="E19" s="46" t="s">
        <v>26</v>
      </c>
      <c r="F19" s="45"/>
      <c r="G19" s="47"/>
      <c r="H19" s="48">
        <v>8767300000</v>
      </c>
      <c r="I19" s="48">
        <f>+[1]Posting!N11</f>
        <v>6031383333</v>
      </c>
      <c r="J19" s="48">
        <f>+[1]Posting!O11</f>
        <v>788830000</v>
      </c>
      <c r="K19" s="48">
        <f>+I19+J19</f>
        <v>6820213333</v>
      </c>
      <c r="L19" s="48">
        <f t="shared" si="1"/>
        <v>1947086667</v>
      </c>
      <c r="M19" s="49">
        <f t="shared" si="3"/>
        <v>0.77791490344803993</v>
      </c>
      <c r="N19" s="50">
        <v>1324640000</v>
      </c>
      <c r="O19" s="48">
        <f>+K19+N19</f>
        <v>8144853333</v>
      </c>
      <c r="P19" s="48">
        <f>+H19-O19</f>
        <v>622446667</v>
      </c>
      <c r="Q19" s="49">
        <f t="shared" si="2"/>
        <v>0.92900360806633742</v>
      </c>
    </row>
    <row r="20" spans="1:18">
      <c r="A20" s="22"/>
      <c r="B20" s="38"/>
      <c r="C20" s="40" t="s">
        <v>27</v>
      </c>
      <c r="D20" s="41" t="s">
        <v>28</v>
      </c>
      <c r="E20" s="40"/>
      <c r="F20" s="40"/>
      <c r="G20" s="47"/>
      <c r="H20" s="51">
        <v>2513400000</v>
      </c>
      <c r="I20" s="51">
        <f>SUM(I21:I26)</f>
        <v>1010339554</v>
      </c>
      <c r="J20" s="51">
        <f>SUM(J21:J26)</f>
        <v>1371810763</v>
      </c>
      <c r="K20" s="51">
        <f>SUM(K21:K26)</f>
        <v>2382150317</v>
      </c>
      <c r="L20" s="51">
        <f t="shared" si="1"/>
        <v>131249683</v>
      </c>
      <c r="M20" s="52">
        <f t="shared" si="3"/>
        <v>0.94778002586138299</v>
      </c>
      <c r="N20" s="51">
        <f>SUM(N21:N26)</f>
        <v>378900000</v>
      </c>
      <c r="O20" s="48">
        <f t="shared" ref="O20:O83" si="7">+K20+N20</f>
        <v>2761050317</v>
      </c>
      <c r="P20" s="48">
        <f t="shared" ref="P20:P83" si="8">+H20-O20</f>
        <v>-247650317</v>
      </c>
      <c r="Q20" s="52">
        <f t="shared" si="2"/>
        <v>1.0985319953051642</v>
      </c>
    </row>
    <row r="21" spans="1:18">
      <c r="A21" s="22" t="s">
        <v>29</v>
      </c>
      <c r="B21" s="38"/>
      <c r="C21" s="40"/>
      <c r="D21" s="45" t="s">
        <v>30</v>
      </c>
      <c r="E21" s="46" t="s">
        <v>31</v>
      </c>
      <c r="F21" s="45"/>
      <c r="G21" s="47"/>
      <c r="H21" s="53">
        <v>1810550000</v>
      </c>
      <c r="I21" s="53">
        <f>+[1]Posting!N18</f>
        <v>439509134</v>
      </c>
      <c r="J21" s="53">
        <f>+[1]Posting!O18</f>
        <v>1248169584</v>
      </c>
      <c r="K21" s="48">
        <f t="shared" ref="K21:K26" si="9">+I21+J21</f>
        <v>1687678718</v>
      </c>
      <c r="L21" s="53">
        <f t="shared" si="1"/>
        <v>122871282</v>
      </c>
      <c r="M21" s="54">
        <f t="shared" si="3"/>
        <v>0.93213593548921603</v>
      </c>
      <c r="N21" s="48">
        <v>370000000</v>
      </c>
      <c r="O21" s="48">
        <f t="shared" si="7"/>
        <v>2057678718</v>
      </c>
      <c r="P21" s="48">
        <f t="shared" si="8"/>
        <v>-247128718</v>
      </c>
      <c r="Q21" s="54">
        <f t="shared" si="2"/>
        <v>1.1364937273204274</v>
      </c>
    </row>
    <row r="22" spans="1:18">
      <c r="A22" s="22" t="s">
        <v>32</v>
      </c>
      <c r="B22" s="38"/>
      <c r="C22" s="40"/>
      <c r="D22" s="45" t="s">
        <v>33</v>
      </c>
      <c r="E22" s="46" t="s">
        <v>34</v>
      </c>
      <c r="F22" s="45"/>
      <c r="G22" s="47"/>
      <c r="H22" s="53">
        <v>0</v>
      </c>
      <c r="I22" s="53">
        <f>+[1]Posting!N19</f>
        <v>0</v>
      </c>
      <c r="J22" s="53">
        <f>+[1]Posting!O19</f>
        <v>0</v>
      </c>
      <c r="K22" s="48">
        <f t="shared" si="9"/>
        <v>0</v>
      </c>
      <c r="L22" s="53">
        <f t="shared" si="1"/>
        <v>0</v>
      </c>
      <c r="M22" s="54" t="e">
        <f t="shared" si="3"/>
        <v>#DIV/0!</v>
      </c>
      <c r="N22" s="48"/>
      <c r="O22" s="48">
        <f t="shared" si="7"/>
        <v>0</v>
      </c>
      <c r="P22" s="48">
        <f t="shared" si="8"/>
        <v>0</v>
      </c>
      <c r="Q22" s="54" t="e">
        <f t="shared" si="2"/>
        <v>#DIV/0!</v>
      </c>
    </row>
    <row r="23" spans="1:18">
      <c r="A23" s="22" t="s">
        <v>35</v>
      </c>
      <c r="B23" s="38"/>
      <c r="C23" s="40"/>
      <c r="D23" s="45" t="s">
        <v>36</v>
      </c>
      <c r="E23" s="46" t="s">
        <v>37</v>
      </c>
      <c r="F23" s="45"/>
      <c r="G23" s="47"/>
      <c r="H23" s="53">
        <v>503650000</v>
      </c>
      <c r="I23" s="53">
        <f>+[1]Posting!N20</f>
        <v>387743815</v>
      </c>
      <c r="J23" s="53">
        <f>+[1]Posting!O20</f>
        <v>115860679</v>
      </c>
      <c r="K23" s="48">
        <f t="shared" si="9"/>
        <v>503604494</v>
      </c>
      <c r="L23" s="53">
        <f t="shared" si="1"/>
        <v>45506</v>
      </c>
      <c r="M23" s="54">
        <f t="shared" si="3"/>
        <v>0.99990964757271916</v>
      </c>
      <c r="N23" s="48">
        <v>4900000</v>
      </c>
      <c r="O23" s="48">
        <f t="shared" si="7"/>
        <v>508504494</v>
      </c>
      <c r="P23" s="48">
        <f t="shared" si="8"/>
        <v>-4854494</v>
      </c>
      <c r="Q23" s="54">
        <f t="shared" si="2"/>
        <v>1.0096386260299812</v>
      </c>
    </row>
    <row r="24" spans="1:18">
      <c r="A24" s="22" t="s">
        <v>38</v>
      </c>
      <c r="B24" s="38"/>
      <c r="C24" s="40"/>
      <c r="D24" s="45" t="s">
        <v>39</v>
      </c>
      <c r="E24" s="46" t="s">
        <v>40</v>
      </c>
      <c r="F24" s="45"/>
      <c r="G24" s="47"/>
      <c r="H24" s="53">
        <v>23500000</v>
      </c>
      <c r="I24" s="53">
        <f>+[1]Posting!N21</f>
        <v>23375000</v>
      </c>
      <c r="J24" s="53">
        <f>+[1]Posting!O21</f>
        <v>0</v>
      </c>
      <c r="K24" s="48">
        <f t="shared" si="9"/>
        <v>23375000</v>
      </c>
      <c r="L24" s="53">
        <f t="shared" si="1"/>
        <v>125000</v>
      </c>
      <c r="M24" s="54">
        <f t="shared" si="3"/>
        <v>0.99468085106382975</v>
      </c>
      <c r="N24" s="48"/>
      <c r="O24" s="48">
        <f t="shared" si="7"/>
        <v>23375000</v>
      </c>
      <c r="P24" s="48">
        <f t="shared" si="8"/>
        <v>125000</v>
      </c>
      <c r="Q24" s="54">
        <f t="shared" si="2"/>
        <v>0.99468085106382975</v>
      </c>
    </row>
    <row r="25" spans="1:18">
      <c r="A25" s="22" t="s">
        <v>41</v>
      </c>
      <c r="B25" s="38"/>
      <c r="C25" s="40"/>
      <c r="D25" s="45" t="s">
        <v>42</v>
      </c>
      <c r="E25" s="46" t="s">
        <v>43</v>
      </c>
      <c r="F25" s="45"/>
      <c r="G25" s="47"/>
      <c r="H25" s="53">
        <v>97400000</v>
      </c>
      <c r="I25" s="53">
        <f>+[1]Posting!N22</f>
        <v>97135000</v>
      </c>
      <c r="J25" s="53">
        <f>+[1]Posting!O22</f>
        <v>0</v>
      </c>
      <c r="K25" s="48">
        <f t="shared" si="9"/>
        <v>97135000</v>
      </c>
      <c r="L25" s="53">
        <f t="shared" si="1"/>
        <v>265000</v>
      </c>
      <c r="M25" s="54">
        <f t="shared" si="3"/>
        <v>0.9972792607802875</v>
      </c>
      <c r="N25" s="48"/>
      <c r="O25" s="48">
        <f t="shared" si="7"/>
        <v>97135000</v>
      </c>
      <c r="P25" s="48">
        <f t="shared" si="8"/>
        <v>265000</v>
      </c>
      <c r="Q25" s="54">
        <f t="shared" si="2"/>
        <v>0.9972792607802875</v>
      </c>
    </row>
    <row r="26" spans="1:18">
      <c r="A26" s="22" t="s">
        <v>44</v>
      </c>
      <c r="B26" s="38"/>
      <c r="C26" s="40"/>
      <c r="D26" s="45" t="s">
        <v>45</v>
      </c>
      <c r="E26" s="46" t="s">
        <v>46</v>
      </c>
      <c r="F26" s="45"/>
      <c r="G26" s="47"/>
      <c r="H26" s="53">
        <v>78300000</v>
      </c>
      <c r="I26" s="53">
        <f>+[1]Posting!N23</f>
        <v>62576605</v>
      </c>
      <c r="J26" s="53">
        <f>+[1]Posting!O23</f>
        <v>7780500</v>
      </c>
      <c r="K26" s="48">
        <f t="shared" si="9"/>
        <v>70357105</v>
      </c>
      <c r="L26" s="53">
        <f t="shared" si="1"/>
        <v>7942895</v>
      </c>
      <c r="M26" s="54">
        <f t="shared" si="3"/>
        <v>0.89855817369093227</v>
      </c>
      <c r="N26" s="48">
        <v>4000000</v>
      </c>
      <c r="O26" s="48">
        <f t="shared" si="7"/>
        <v>74357105</v>
      </c>
      <c r="P26" s="48">
        <f t="shared" si="8"/>
        <v>3942895</v>
      </c>
      <c r="Q26" s="54">
        <f t="shared" si="2"/>
        <v>0.94964374201787993</v>
      </c>
    </row>
    <row r="27" spans="1:18">
      <c r="A27" s="22" t="s">
        <v>47</v>
      </c>
      <c r="B27" s="38"/>
      <c r="C27" s="40" t="s">
        <v>48</v>
      </c>
      <c r="D27" s="41" t="s">
        <v>49</v>
      </c>
      <c r="E27" s="40"/>
      <c r="F27" s="40"/>
      <c r="G27" s="47"/>
      <c r="H27" s="51">
        <v>4853958000</v>
      </c>
      <c r="I27" s="51">
        <f>+[1]Posting!N26</f>
        <v>2775780882</v>
      </c>
      <c r="J27" s="51">
        <f>+[1]Posting!O26</f>
        <v>771085912</v>
      </c>
      <c r="K27" s="51">
        <f>+[1]Posting!P26</f>
        <v>3546866794</v>
      </c>
      <c r="L27" s="51">
        <f t="shared" si="1"/>
        <v>1307091206</v>
      </c>
      <c r="M27" s="52">
        <f t="shared" si="3"/>
        <v>0.73071641617006167</v>
      </c>
      <c r="N27" s="51">
        <f>15000000*2+1270000000+9249448</f>
        <v>1309249448</v>
      </c>
      <c r="O27" s="48">
        <f t="shared" si="7"/>
        <v>4856116242</v>
      </c>
      <c r="P27" s="48">
        <f t="shared" si="8"/>
        <v>-2158242</v>
      </c>
      <c r="Q27" s="52">
        <f t="shared" si="2"/>
        <v>1.0004446354912837</v>
      </c>
      <c r="R27" s="2">
        <v>-9249448</v>
      </c>
    </row>
    <row r="28" spans="1:18">
      <c r="A28" s="22"/>
      <c r="B28" s="39"/>
      <c r="C28" s="40" t="s">
        <v>50</v>
      </c>
      <c r="D28" s="41" t="s">
        <v>51</v>
      </c>
      <c r="E28" s="40"/>
      <c r="F28" s="40"/>
      <c r="G28" s="42"/>
      <c r="H28" s="43">
        <v>97000000</v>
      </c>
      <c r="I28" s="43">
        <f>+I29+I30</f>
        <v>77385342</v>
      </c>
      <c r="J28" s="43">
        <f>+J29+J30</f>
        <v>12531888</v>
      </c>
      <c r="K28" s="43">
        <f>+K29+K30</f>
        <v>89917230</v>
      </c>
      <c r="L28" s="43">
        <f t="shared" si="1"/>
        <v>7082770</v>
      </c>
      <c r="M28" s="44">
        <f t="shared" si="3"/>
        <v>0.92698175257731963</v>
      </c>
      <c r="N28" s="43">
        <f>+N29+N30</f>
        <v>30000000</v>
      </c>
      <c r="O28" s="48">
        <f t="shared" si="7"/>
        <v>119917230</v>
      </c>
      <c r="P28" s="48">
        <f t="shared" si="8"/>
        <v>-22917230</v>
      </c>
      <c r="Q28" s="44">
        <f t="shared" si="2"/>
        <v>1.2362601030927836</v>
      </c>
    </row>
    <row r="29" spans="1:18">
      <c r="A29" s="22" t="s">
        <v>52</v>
      </c>
      <c r="B29" s="39"/>
      <c r="C29" s="45"/>
      <c r="D29" s="45" t="s">
        <v>53</v>
      </c>
      <c r="E29" s="46" t="s">
        <v>54</v>
      </c>
      <c r="F29" s="45"/>
      <c r="G29" s="47"/>
      <c r="H29" s="48">
        <v>9500000</v>
      </c>
      <c r="I29" s="48">
        <f>+[1]Posting!N37</f>
        <v>9500000</v>
      </c>
      <c r="J29" s="48">
        <f>+[1]Posting!O37</f>
        <v>0</v>
      </c>
      <c r="K29" s="48">
        <f t="shared" ref="K29:K30" si="10">+I29+J29</f>
        <v>9500000</v>
      </c>
      <c r="L29" s="48">
        <f t="shared" si="1"/>
        <v>0</v>
      </c>
      <c r="M29" s="49">
        <f t="shared" si="3"/>
        <v>1</v>
      </c>
      <c r="N29" s="48"/>
      <c r="O29" s="48">
        <f t="shared" si="7"/>
        <v>9500000</v>
      </c>
      <c r="P29" s="48">
        <f t="shared" si="8"/>
        <v>0</v>
      </c>
      <c r="Q29" s="49">
        <f t="shared" si="2"/>
        <v>1</v>
      </c>
    </row>
    <row r="30" spans="1:18">
      <c r="A30" s="22" t="s">
        <v>55</v>
      </c>
      <c r="B30" s="39"/>
      <c r="C30" s="45"/>
      <c r="D30" s="45" t="s">
        <v>56</v>
      </c>
      <c r="E30" s="46" t="s">
        <v>57</v>
      </c>
      <c r="F30" s="45"/>
      <c r="G30" s="47"/>
      <c r="H30" s="53">
        <v>87500000</v>
      </c>
      <c r="I30" s="48">
        <f>+[1]Posting!N38</f>
        <v>67885342</v>
      </c>
      <c r="J30" s="48">
        <f>+[1]Posting!O38</f>
        <v>12531888</v>
      </c>
      <c r="K30" s="48">
        <f t="shared" si="10"/>
        <v>80417230</v>
      </c>
      <c r="L30" s="48">
        <f t="shared" si="1"/>
        <v>7082770</v>
      </c>
      <c r="M30" s="49">
        <f t="shared" si="3"/>
        <v>0.91905405714285715</v>
      </c>
      <c r="N30" s="48">
        <v>30000000</v>
      </c>
      <c r="O30" s="48">
        <f t="shared" si="7"/>
        <v>110417230</v>
      </c>
      <c r="P30" s="48">
        <f t="shared" si="8"/>
        <v>-22917230</v>
      </c>
      <c r="Q30" s="49">
        <f t="shared" si="2"/>
        <v>1.2619111999999999</v>
      </c>
    </row>
    <row r="31" spans="1:18">
      <c r="A31" s="22"/>
      <c r="B31" s="39"/>
      <c r="C31" s="40" t="s">
        <v>58</v>
      </c>
      <c r="D31" s="41" t="s">
        <v>59</v>
      </c>
      <c r="E31" s="40"/>
      <c r="F31" s="55"/>
      <c r="G31" s="42"/>
      <c r="H31" s="43">
        <v>470450000</v>
      </c>
      <c r="I31" s="43">
        <f>SUM(I32:I34)</f>
        <v>402311500</v>
      </c>
      <c r="J31" s="43">
        <f>SUM(J32:J34)</f>
        <v>23670000</v>
      </c>
      <c r="K31" s="43">
        <f>SUM(K32:K34)</f>
        <v>425981500</v>
      </c>
      <c r="L31" s="43">
        <f t="shared" si="1"/>
        <v>44468500</v>
      </c>
      <c r="M31" s="44">
        <f t="shared" si="3"/>
        <v>0.90547667127218623</v>
      </c>
      <c r="N31" s="43">
        <f>SUM(N32:N34)</f>
        <v>45000000</v>
      </c>
      <c r="O31" s="48">
        <f t="shared" si="7"/>
        <v>470981500</v>
      </c>
      <c r="P31" s="48">
        <f t="shared" si="8"/>
        <v>-531500</v>
      </c>
      <c r="Q31" s="44">
        <f t="shared" si="2"/>
        <v>1.0011297693697523</v>
      </c>
    </row>
    <row r="32" spans="1:18">
      <c r="A32" s="22" t="s">
        <v>60</v>
      </c>
      <c r="B32" s="39"/>
      <c r="C32" s="45"/>
      <c r="D32" s="45" t="s">
        <v>61</v>
      </c>
      <c r="E32" s="46" t="s">
        <v>62</v>
      </c>
      <c r="F32" s="45"/>
      <c r="G32" s="47"/>
      <c r="H32" s="48">
        <v>0</v>
      </c>
      <c r="I32" s="48">
        <f>+[1]Posting!N41</f>
        <v>0</v>
      </c>
      <c r="J32" s="48">
        <f>+[1]Posting!O41</f>
        <v>0</v>
      </c>
      <c r="K32" s="48">
        <f t="shared" ref="K32:K34" si="11">+I32+J32</f>
        <v>0</v>
      </c>
      <c r="L32" s="48">
        <f t="shared" si="1"/>
        <v>0</v>
      </c>
      <c r="M32" s="49" t="e">
        <f t="shared" si="3"/>
        <v>#DIV/0!</v>
      </c>
      <c r="N32" s="48"/>
      <c r="O32" s="48">
        <f t="shared" si="7"/>
        <v>0</v>
      </c>
      <c r="P32" s="48">
        <f t="shared" si="8"/>
        <v>0</v>
      </c>
      <c r="Q32" s="49" t="e">
        <f t="shared" si="2"/>
        <v>#DIV/0!</v>
      </c>
    </row>
    <row r="33" spans="1:17">
      <c r="A33" s="22" t="s">
        <v>63</v>
      </c>
      <c r="B33" s="39"/>
      <c r="C33" s="45"/>
      <c r="D33" s="45" t="s">
        <v>64</v>
      </c>
      <c r="E33" s="46" t="s">
        <v>65</v>
      </c>
      <c r="F33" s="56"/>
      <c r="G33" s="47"/>
      <c r="H33" s="48">
        <v>81150000</v>
      </c>
      <c r="I33" s="48">
        <f>+[1]Posting!N42</f>
        <v>81012500</v>
      </c>
      <c r="J33" s="48">
        <f>+[1]Posting!O42</f>
        <v>0</v>
      </c>
      <c r="K33" s="48">
        <f t="shared" si="11"/>
        <v>81012500</v>
      </c>
      <c r="L33" s="48">
        <f t="shared" si="1"/>
        <v>137500</v>
      </c>
      <c r="M33" s="49">
        <f t="shared" si="3"/>
        <v>0.99830560690080095</v>
      </c>
      <c r="N33" s="48"/>
      <c r="O33" s="48">
        <f t="shared" si="7"/>
        <v>81012500</v>
      </c>
      <c r="P33" s="48">
        <f t="shared" si="8"/>
        <v>137500</v>
      </c>
      <c r="Q33" s="49">
        <f t="shared" si="2"/>
        <v>0.99830560690080095</v>
      </c>
    </row>
    <row r="34" spans="1:17">
      <c r="A34" s="22" t="s">
        <v>66</v>
      </c>
      <c r="B34" s="39"/>
      <c r="C34" s="45"/>
      <c r="D34" s="45" t="s">
        <v>67</v>
      </c>
      <c r="E34" s="46" t="s">
        <v>68</v>
      </c>
      <c r="F34" s="56"/>
      <c r="G34" s="47"/>
      <c r="H34" s="48">
        <v>389300000</v>
      </c>
      <c r="I34" s="48">
        <f>+[1]Posting!N43</f>
        <v>321299000</v>
      </c>
      <c r="J34" s="48">
        <f>+[1]Posting!O43</f>
        <v>23670000</v>
      </c>
      <c r="K34" s="48">
        <f t="shared" si="11"/>
        <v>344969000</v>
      </c>
      <c r="L34" s="48">
        <f t="shared" si="1"/>
        <v>44331000</v>
      </c>
      <c r="M34" s="49">
        <f t="shared" si="3"/>
        <v>0.88612638068327765</v>
      </c>
      <c r="N34" s="48">
        <v>45000000</v>
      </c>
      <c r="O34" s="48">
        <f t="shared" si="7"/>
        <v>389969000</v>
      </c>
      <c r="P34" s="48">
        <f t="shared" si="8"/>
        <v>-669000</v>
      </c>
      <c r="Q34" s="49">
        <f t="shared" si="2"/>
        <v>1.0017184690470073</v>
      </c>
    </row>
    <row r="35" spans="1:17">
      <c r="A35" s="22"/>
      <c r="B35" s="39"/>
      <c r="C35" s="40" t="s">
        <v>69</v>
      </c>
      <c r="D35" s="41" t="s">
        <v>70</v>
      </c>
      <c r="E35" s="40"/>
      <c r="F35" s="55"/>
      <c r="G35" s="47"/>
      <c r="H35" s="51">
        <v>157750000</v>
      </c>
      <c r="I35" s="51">
        <f>+[1]Posting!N45</f>
        <v>124800091</v>
      </c>
      <c r="J35" s="51">
        <f>+[1]Posting!O45</f>
        <v>20997400</v>
      </c>
      <c r="K35" s="51">
        <f>+[1]Posting!P45</f>
        <v>145797491</v>
      </c>
      <c r="L35" s="51">
        <f t="shared" si="1"/>
        <v>11952509</v>
      </c>
      <c r="M35" s="52">
        <f t="shared" si="3"/>
        <v>0.92423132171156896</v>
      </c>
      <c r="N35" s="51">
        <f>+[1]Posting!S45</f>
        <v>20997400</v>
      </c>
      <c r="O35" s="48">
        <f t="shared" si="7"/>
        <v>166794891</v>
      </c>
      <c r="P35" s="48">
        <f t="shared" si="8"/>
        <v>-9044891</v>
      </c>
      <c r="Q35" s="52">
        <f t="shared" si="2"/>
        <v>1.0573368684627575</v>
      </c>
    </row>
    <row r="36" spans="1:17">
      <c r="A36" s="22" t="s">
        <v>71</v>
      </c>
      <c r="B36" s="39"/>
      <c r="C36" s="40"/>
      <c r="D36" s="45" t="s">
        <v>72</v>
      </c>
      <c r="E36" s="46" t="s">
        <v>73</v>
      </c>
      <c r="F36" s="55"/>
      <c r="G36" s="47"/>
      <c r="H36" s="53">
        <v>80700000</v>
      </c>
      <c r="I36" s="53">
        <f>+[1]Posting!N46</f>
        <v>70900091</v>
      </c>
      <c r="J36" s="53">
        <f>+[1]Posting!O46</f>
        <v>5597400</v>
      </c>
      <c r="K36" s="48">
        <f t="shared" ref="K36:K37" si="12">+I36+J36</f>
        <v>76497491</v>
      </c>
      <c r="L36" s="53">
        <f t="shared" si="1"/>
        <v>4202509</v>
      </c>
      <c r="M36" s="54">
        <f t="shared" si="3"/>
        <v>0.94792429987608429</v>
      </c>
      <c r="N36" s="48">
        <v>2600000</v>
      </c>
      <c r="O36" s="48">
        <f t="shared" si="7"/>
        <v>79097491</v>
      </c>
      <c r="P36" s="48">
        <f t="shared" si="8"/>
        <v>1602509</v>
      </c>
      <c r="Q36" s="54">
        <f t="shared" si="2"/>
        <v>0.98014239157372984</v>
      </c>
    </row>
    <row r="37" spans="1:17">
      <c r="A37" s="22" t="s">
        <v>74</v>
      </c>
      <c r="B37" s="39"/>
      <c r="C37" s="40"/>
      <c r="D37" s="45" t="s">
        <v>75</v>
      </c>
      <c r="E37" s="46" t="s">
        <v>76</v>
      </c>
      <c r="F37" s="55"/>
      <c r="G37" s="47"/>
      <c r="H37" s="53">
        <v>77050000</v>
      </c>
      <c r="I37" s="53">
        <f>+[1]Posting!N47</f>
        <v>53900000</v>
      </c>
      <c r="J37" s="53">
        <f>+[1]Posting!O47</f>
        <v>15400000</v>
      </c>
      <c r="K37" s="48">
        <f t="shared" si="12"/>
        <v>69300000</v>
      </c>
      <c r="L37" s="53">
        <f t="shared" si="1"/>
        <v>7750000</v>
      </c>
      <c r="M37" s="54">
        <f t="shared" si="3"/>
        <v>0.89941596365996102</v>
      </c>
      <c r="N37" s="48">
        <f>7700000*2</f>
        <v>15400000</v>
      </c>
      <c r="O37" s="48">
        <f t="shared" si="7"/>
        <v>84700000</v>
      </c>
      <c r="P37" s="48">
        <f t="shared" si="8"/>
        <v>-7650000</v>
      </c>
      <c r="Q37" s="54">
        <f t="shared" si="2"/>
        <v>1.099286177806619</v>
      </c>
    </row>
    <row r="38" spans="1:17">
      <c r="A38" s="22"/>
      <c r="B38" s="39"/>
      <c r="C38" s="45"/>
      <c r="D38" s="45"/>
      <c r="E38" s="45"/>
      <c r="F38" s="56"/>
      <c r="G38" s="47"/>
      <c r="H38" s="53"/>
      <c r="I38" s="53"/>
      <c r="J38" s="53"/>
      <c r="K38" s="53"/>
      <c r="L38" s="53">
        <f t="shared" si="1"/>
        <v>0</v>
      </c>
      <c r="M38" s="54" t="e">
        <f t="shared" si="3"/>
        <v>#DIV/0!</v>
      </c>
      <c r="N38" s="53"/>
      <c r="O38" s="48">
        <f t="shared" si="7"/>
        <v>0</v>
      </c>
      <c r="P38" s="48">
        <f t="shared" si="8"/>
        <v>0</v>
      </c>
      <c r="Q38" s="54" t="e">
        <f t="shared" si="2"/>
        <v>#DIV/0!</v>
      </c>
    </row>
    <row r="39" spans="1:17">
      <c r="A39" s="22"/>
      <c r="B39" s="38" t="s">
        <v>77</v>
      </c>
      <c r="C39" s="41" t="s">
        <v>78</v>
      </c>
      <c r="D39" s="40"/>
      <c r="E39" s="40"/>
      <c r="F39" s="55"/>
      <c r="G39" s="42"/>
      <c r="H39" s="51">
        <v>10521576000</v>
      </c>
      <c r="I39" s="51">
        <f>+I40+I44+I55+I62+I83+I86</f>
        <v>8519366002</v>
      </c>
      <c r="J39" s="51">
        <f>+J40+J44+J55+J62+J83+J86</f>
        <v>1045168120</v>
      </c>
      <c r="K39" s="51">
        <f>+K40+K44+K55+K62+K83+K86</f>
        <v>9564534122</v>
      </c>
      <c r="L39" s="51">
        <f t="shared" si="1"/>
        <v>957041878</v>
      </c>
      <c r="M39" s="52">
        <f t="shared" si="3"/>
        <v>0.90904006415008554</v>
      </c>
      <c r="N39" s="51">
        <f>+N40+N44+N55+N62+N83+N86</f>
        <v>1233178152</v>
      </c>
      <c r="O39" s="48">
        <f t="shared" si="7"/>
        <v>10797712274</v>
      </c>
      <c r="P39" s="48">
        <f t="shared" si="8"/>
        <v>-276136274</v>
      </c>
      <c r="Q39" s="52">
        <f t="shared" si="2"/>
        <v>1.0262447635221188</v>
      </c>
    </row>
    <row r="40" spans="1:17">
      <c r="A40" s="22"/>
      <c r="B40" s="39"/>
      <c r="C40" s="40" t="s">
        <v>23</v>
      </c>
      <c r="D40" s="41" t="s">
        <v>24</v>
      </c>
      <c r="E40" s="40"/>
      <c r="F40" s="55"/>
      <c r="G40" s="42"/>
      <c r="H40" s="51">
        <v>692040000</v>
      </c>
      <c r="I40" s="51">
        <f>SUM(I41:I42)</f>
        <v>464505000</v>
      </c>
      <c r="J40" s="51">
        <f>SUM(J41:J42)</f>
        <v>33705000</v>
      </c>
      <c r="K40" s="51">
        <f>SUM(K41:K42)</f>
        <v>498210000</v>
      </c>
      <c r="L40" s="51">
        <f t="shared" si="1"/>
        <v>193830000</v>
      </c>
      <c r="M40" s="52">
        <f t="shared" si="3"/>
        <v>0.71991503381307442</v>
      </c>
      <c r="N40" s="51">
        <f>SUM(N41:N42)</f>
        <v>120000000</v>
      </c>
      <c r="O40" s="48">
        <f t="shared" si="7"/>
        <v>618210000</v>
      </c>
      <c r="P40" s="48">
        <f t="shared" si="8"/>
        <v>73830000</v>
      </c>
      <c r="Q40" s="52">
        <f t="shared" si="2"/>
        <v>0.89331541529391367</v>
      </c>
    </row>
    <row r="41" spans="1:17">
      <c r="A41" s="22" t="s">
        <v>79</v>
      </c>
      <c r="B41" s="39"/>
      <c r="C41" s="40"/>
      <c r="D41" s="46" t="s">
        <v>25</v>
      </c>
      <c r="E41" s="46" t="s">
        <v>80</v>
      </c>
      <c r="F41" s="55"/>
      <c r="G41" s="42"/>
      <c r="H41" s="53">
        <v>661080000</v>
      </c>
      <c r="I41" s="53">
        <f>+[1]Posting!N51</f>
        <v>441685000</v>
      </c>
      <c r="J41" s="53">
        <f>+[1]Posting!O51</f>
        <v>31225000</v>
      </c>
      <c r="K41" s="48">
        <f t="shared" ref="K41:K42" si="13">+I41+J41</f>
        <v>472910000</v>
      </c>
      <c r="L41" s="53">
        <f t="shared" si="1"/>
        <v>188170000</v>
      </c>
      <c r="M41" s="54">
        <f t="shared" si="3"/>
        <v>0.71535971440672841</v>
      </c>
      <c r="N41" s="48">
        <f>60000000*2</f>
        <v>120000000</v>
      </c>
      <c r="O41" s="48">
        <f t="shared" si="7"/>
        <v>592910000</v>
      </c>
      <c r="P41" s="48">
        <f t="shared" si="8"/>
        <v>68170000</v>
      </c>
      <c r="Q41" s="54">
        <f t="shared" si="2"/>
        <v>0.89688086162037872</v>
      </c>
    </row>
    <row r="42" spans="1:17">
      <c r="A42" s="22" t="s">
        <v>81</v>
      </c>
      <c r="B42" s="39"/>
      <c r="C42" s="40"/>
      <c r="D42" s="46" t="s">
        <v>82</v>
      </c>
      <c r="E42" s="46" t="s">
        <v>83</v>
      </c>
      <c r="F42" s="55"/>
      <c r="G42" s="42"/>
      <c r="H42" s="53">
        <v>30960000</v>
      </c>
      <c r="I42" s="53">
        <f>+[1]Posting!N60</f>
        <v>22820000</v>
      </c>
      <c r="J42" s="53">
        <f>+[1]Posting!O60</f>
        <v>2480000</v>
      </c>
      <c r="K42" s="48">
        <f t="shared" si="13"/>
        <v>25300000</v>
      </c>
      <c r="L42" s="53">
        <f t="shared" si="1"/>
        <v>5660000</v>
      </c>
      <c r="M42" s="54">
        <f t="shared" si="3"/>
        <v>0.81718346253229979</v>
      </c>
      <c r="N42" s="48"/>
      <c r="O42" s="48">
        <f t="shared" si="7"/>
        <v>25300000</v>
      </c>
      <c r="P42" s="48">
        <f t="shared" si="8"/>
        <v>5660000</v>
      </c>
      <c r="Q42" s="54">
        <f t="shared" si="2"/>
        <v>0.81718346253229979</v>
      </c>
    </row>
    <row r="43" spans="1:17">
      <c r="A43" s="22"/>
      <c r="B43" s="39"/>
      <c r="C43" s="40"/>
      <c r="D43" s="41"/>
      <c r="E43" s="40"/>
      <c r="F43" s="55"/>
      <c r="G43" s="42"/>
      <c r="H43" s="51"/>
      <c r="I43" s="51"/>
      <c r="J43" s="51"/>
      <c r="K43" s="51"/>
      <c r="L43" s="51">
        <f t="shared" si="1"/>
        <v>0</v>
      </c>
      <c r="M43" s="52" t="e">
        <f t="shared" si="3"/>
        <v>#DIV/0!</v>
      </c>
      <c r="N43" s="51"/>
      <c r="O43" s="48">
        <f t="shared" si="7"/>
        <v>0</v>
      </c>
      <c r="P43" s="48">
        <f t="shared" si="8"/>
        <v>0</v>
      </c>
      <c r="Q43" s="52" t="e">
        <f t="shared" si="2"/>
        <v>#DIV/0!</v>
      </c>
    </row>
    <row r="44" spans="1:17">
      <c r="A44" s="22"/>
      <c r="B44" s="39"/>
      <c r="C44" s="40" t="s">
        <v>27</v>
      </c>
      <c r="D44" s="41" t="s">
        <v>84</v>
      </c>
      <c r="E44" s="40"/>
      <c r="F44" s="55"/>
      <c r="G44" s="42"/>
      <c r="H44" s="51">
        <v>2398400000</v>
      </c>
      <c r="I44" s="51">
        <f>SUM(I45:I53)</f>
        <v>1823291407</v>
      </c>
      <c r="J44" s="51">
        <f>SUM(J45:J53)</f>
        <v>315635025</v>
      </c>
      <c r="K44" s="51">
        <f>SUM(K45:K53)</f>
        <v>2138926432</v>
      </c>
      <c r="L44" s="51">
        <f t="shared" si="1"/>
        <v>259473568</v>
      </c>
      <c r="M44" s="52">
        <f t="shared" si="3"/>
        <v>0.89181388925950633</v>
      </c>
      <c r="N44" s="51">
        <f>SUM(N45:N53)</f>
        <v>293500000</v>
      </c>
      <c r="O44" s="48">
        <f t="shared" si="7"/>
        <v>2432426432</v>
      </c>
      <c r="P44" s="48">
        <f t="shared" si="8"/>
        <v>-34026432</v>
      </c>
      <c r="Q44" s="52">
        <f t="shared" si="2"/>
        <v>1.0141871380920613</v>
      </c>
    </row>
    <row r="45" spans="1:17">
      <c r="A45" s="22" t="s">
        <v>85</v>
      </c>
      <c r="B45" s="39"/>
      <c r="C45" s="45"/>
      <c r="D45" s="45" t="s">
        <v>30</v>
      </c>
      <c r="E45" s="46" t="s">
        <v>86</v>
      </c>
      <c r="F45" s="57"/>
      <c r="G45" s="47"/>
      <c r="H45" s="53">
        <v>15250000</v>
      </c>
      <c r="I45" s="53">
        <f>+[1]Posting!N63</f>
        <v>8955980</v>
      </c>
      <c r="J45" s="53">
        <f>+[1]Posting!O63</f>
        <v>6003050</v>
      </c>
      <c r="K45" s="48">
        <f t="shared" ref="K45:K53" si="14">+I45+J45</f>
        <v>14959030</v>
      </c>
      <c r="L45" s="53">
        <f t="shared" si="1"/>
        <v>290970</v>
      </c>
      <c r="M45" s="54">
        <f t="shared" si="3"/>
        <v>0.98092000000000001</v>
      </c>
      <c r="N45" s="48">
        <v>5000000</v>
      </c>
      <c r="O45" s="48">
        <f t="shared" si="7"/>
        <v>19959030</v>
      </c>
      <c r="P45" s="48">
        <f t="shared" si="8"/>
        <v>-4709030</v>
      </c>
      <c r="Q45" s="54">
        <f t="shared" si="2"/>
        <v>1.3087888524590163</v>
      </c>
    </row>
    <row r="46" spans="1:17">
      <c r="A46" s="22" t="s">
        <v>87</v>
      </c>
      <c r="B46" s="39"/>
      <c r="C46" s="45"/>
      <c r="D46" s="45" t="s">
        <v>33</v>
      </c>
      <c r="E46" s="46" t="s">
        <v>88</v>
      </c>
      <c r="F46" s="57"/>
      <c r="G46" s="47"/>
      <c r="H46" s="53">
        <v>300250000</v>
      </c>
      <c r="I46" s="53">
        <f>+[1]Posting!N67</f>
        <v>240638297</v>
      </c>
      <c r="J46" s="53">
        <f>+[1]Posting!O67</f>
        <v>11849035</v>
      </c>
      <c r="K46" s="48">
        <f t="shared" si="14"/>
        <v>252487332</v>
      </c>
      <c r="L46" s="53">
        <f t="shared" si="1"/>
        <v>47762668</v>
      </c>
      <c r="M46" s="54">
        <f t="shared" si="3"/>
        <v>0.840923670274771</v>
      </c>
      <c r="N46" s="48">
        <v>40000000</v>
      </c>
      <c r="O46" s="48">
        <f t="shared" si="7"/>
        <v>292487332</v>
      </c>
      <c r="P46" s="48">
        <f t="shared" si="8"/>
        <v>7762668</v>
      </c>
      <c r="Q46" s="54">
        <f t="shared" si="2"/>
        <v>0.97414598501248961</v>
      </c>
    </row>
    <row r="47" spans="1:17">
      <c r="A47" s="22" t="s">
        <v>89</v>
      </c>
      <c r="B47" s="39"/>
      <c r="C47" s="45"/>
      <c r="D47" s="45" t="s">
        <v>36</v>
      </c>
      <c r="E47" s="46" t="s">
        <v>90</v>
      </c>
      <c r="F47" s="57"/>
      <c r="G47" s="47"/>
      <c r="H47" s="48">
        <v>101850000</v>
      </c>
      <c r="I47" s="53">
        <f>+[1]Posting!N68</f>
        <v>83705880</v>
      </c>
      <c r="J47" s="53">
        <f>+[1]Posting!O68</f>
        <v>14603540</v>
      </c>
      <c r="K47" s="48">
        <f t="shared" si="14"/>
        <v>98309420</v>
      </c>
      <c r="L47" s="53">
        <f t="shared" si="1"/>
        <v>3540580</v>
      </c>
      <c r="M47" s="54">
        <f t="shared" si="3"/>
        <v>0.96523730976926858</v>
      </c>
      <c r="N47" s="48">
        <v>2500000</v>
      </c>
      <c r="O47" s="48">
        <f t="shared" si="7"/>
        <v>100809420</v>
      </c>
      <c r="P47" s="48">
        <f t="shared" si="8"/>
        <v>1040580</v>
      </c>
      <c r="Q47" s="54">
        <f t="shared" si="2"/>
        <v>0.98978321060382912</v>
      </c>
    </row>
    <row r="48" spans="1:17">
      <c r="A48" s="22" t="s">
        <v>91</v>
      </c>
      <c r="B48" s="39"/>
      <c r="C48" s="45"/>
      <c r="D48" s="45" t="s">
        <v>39</v>
      </c>
      <c r="E48" s="46" t="s">
        <v>92</v>
      </c>
      <c r="F48" s="57"/>
      <c r="G48" s="47"/>
      <c r="H48" s="53">
        <v>6000000</v>
      </c>
      <c r="I48" s="53">
        <f>+[1]Posting!N69</f>
        <v>0</v>
      </c>
      <c r="J48" s="53">
        <f>+[1]Posting!O69</f>
        <v>0</v>
      </c>
      <c r="K48" s="48">
        <f t="shared" si="14"/>
        <v>0</v>
      </c>
      <c r="L48" s="53">
        <f t="shared" si="1"/>
        <v>6000000</v>
      </c>
      <c r="M48" s="54">
        <f t="shared" si="3"/>
        <v>0</v>
      </c>
      <c r="N48" s="48">
        <f>250000*24</f>
        <v>6000000</v>
      </c>
      <c r="O48" s="48">
        <f t="shared" si="7"/>
        <v>6000000</v>
      </c>
      <c r="P48" s="48">
        <f t="shared" si="8"/>
        <v>0</v>
      </c>
      <c r="Q48" s="54">
        <f t="shared" si="2"/>
        <v>1</v>
      </c>
    </row>
    <row r="49" spans="1:17">
      <c r="A49" s="22" t="s">
        <v>93</v>
      </c>
      <c r="B49" s="39"/>
      <c r="C49" s="45"/>
      <c r="D49" s="45" t="s">
        <v>42</v>
      </c>
      <c r="E49" s="46" t="s">
        <v>94</v>
      </c>
      <c r="F49" s="57"/>
      <c r="G49" s="47"/>
      <c r="H49" s="48">
        <v>237500000</v>
      </c>
      <c r="I49" s="53">
        <f>+[1]Posting!N70</f>
        <v>158900500</v>
      </c>
      <c r="J49" s="53">
        <f>+[1]Posting!O70</f>
        <v>47315400</v>
      </c>
      <c r="K49" s="48">
        <f t="shared" si="14"/>
        <v>206215900</v>
      </c>
      <c r="L49" s="53">
        <f t="shared" si="1"/>
        <v>31284100</v>
      </c>
      <c r="M49" s="54">
        <f t="shared" si="3"/>
        <v>0.86827747368421049</v>
      </c>
      <c r="N49" s="48">
        <v>35000000</v>
      </c>
      <c r="O49" s="48">
        <f t="shared" si="7"/>
        <v>241215900</v>
      </c>
      <c r="P49" s="48">
        <f t="shared" si="8"/>
        <v>-3715900</v>
      </c>
      <c r="Q49" s="54">
        <f t="shared" si="2"/>
        <v>1.0156458947368421</v>
      </c>
    </row>
    <row r="50" spans="1:17">
      <c r="A50" s="22" t="s">
        <v>95</v>
      </c>
      <c r="B50" s="39"/>
      <c r="C50" s="45"/>
      <c r="D50" s="45" t="s">
        <v>45</v>
      </c>
      <c r="E50" s="46" t="s">
        <v>96</v>
      </c>
      <c r="F50" s="57"/>
      <c r="G50" s="47"/>
      <c r="H50" s="53">
        <v>120350000</v>
      </c>
      <c r="I50" s="53">
        <f>+[1]Posting!N78</f>
        <v>73785500</v>
      </c>
      <c r="J50" s="53">
        <f>+[1]Posting!O78</f>
        <v>22763500</v>
      </c>
      <c r="K50" s="48">
        <f t="shared" si="14"/>
        <v>96549000</v>
      </c>
      <c r="L50" s="53">
        <f t="shared" si="1"/>
        <v>23801000</v>
      </c>
      <c r="M50" s="54">
        <f t="shared" si="3"/>
        <v>0.80223514748649771</v>
      </c>
      <c r="N50" s="48">
        <v>5000000</v>
      </c>
      <c r="O50" s="48">
        <f t="shared" si="7"/>
        <v>101549000</v>
      </c>
      <c r="P50" s="48">
        <f t="shared" si="8"/>
        <v>18801000</v>
      </c>
      <c r="Q50" s="54">
        <f t="shared" si="2"/>
        <v>0.8437806398005816</v>
      </c>
    </row>
    <row r="51" spans="1:17">
      <c r="A51" s="22" t="s">
        <v>97</v>
      </c>
      <c r="B51" s="39"/>
      <c r="C51" s="45"/>
      <c r="D51" s="45" t="s">
        <v>98</v>
      </c>
      <c r="E51" s="46" t="s">
        <v>99</v>
      </c>
      <c r="F51" s="57"/>
      <c r="G51" s="47"/>
      <c r="H51" s="53"/>
      <c r="I51" s="53">
        <f>+[1]Posting!N83</f>
        <v>0</v>
      </c>
      <c r="J51" s="53">
        <f>+[1]Posting!O83</f>
        <v>0</v>
      </c>
      <c r="K51" s="48">
        <f t="shared" si="14"/>
        <v>0</v>
      </c>
      <c r="L51" s="53">
        <f t="shared" si="1"/>
        <v>0</v>
      </c>
      <c r="M51" s="54" t="e">
        <f t="shared" si="3"/>
        <v>#DIV/0!</v>
      </c>
      <c r="N51" s="48">
        <v>0</v>
      </c>
      <c r="O51" s="48">
        <f t="shared" si="7"/>
        <v>0</v>
      </c>
      <c r="P51" s="48">
        <f t="shared" si="8"/>
        <v>0</v>
      </c>
      <c r="Q51" s="54" t="e">
        <f t="shared" si="2"/>
        <v>#DIV/0!</v>
      </c>
    </row>
    <row r="52" spans="1:17">
      <c r="A52" s="22" t="s">
        <v>100</v>
      </c>
      <c r="B52" s="39"/>
      <c r="C52" s="45"/>
      <c r="D52" s="45" t="s">
        <v>101</v>
      </c>
      <c r="E52" s="46" t="s">
        <v>102</v>
      </c>
      <c r="F52" s="57"/>
      <c r="G52" s="47"/>
      <c r="H52" s="53">
        <v>0</v>
      </c>
      <c r="I52" s="53">
        <f>+[1]Posting!N84</f>
        <v>0</v>
      </c>
      <c r="J52" s="53">
        <f>+[1]Posting!O84</f>
        <v>0</v>
      </c>
      <c r="K52" s="48">
        <f t="shared" si="14"/>
        <v>0</v>
      </c>
      <c r="L52" s="53">
        <f t="shared" si="1"/>
        <v>0</v>
      </c>
      <c r="M52" s="54" t="e">
        <f t="shared" si="3"/>
        <v>#DIV/0!</v>
      </c>
      <c r="N52" s="48"/>
      <c r="O52" s="48">
        <f t="shared" si="7"/>
        <v>0</v>
      </c>
      <c r="P52" s="48">
        <f t="shared" si="8"/>
        <v>0</v>
      </c>
      <c r="Q52" s="54" t="e">
        <f t="shared" si="2"/>
        <v>#DIV/0!</v>
      </c>
    </row>
    <row r="53" spans="1:17">
      <c r="A53" s="22" t="s">
        <v>103</v>
      </c>
      <c r="B53" s="39"/>
      <c r="C53" s="45"/>
      <c r="D53" s="45" t="s">
        <v>104</v>
      </c>
      <c r="E53" s="46" t="s">
        <v>105</v>
      </c>
      <c r="F53" s="57"/>
      <c r="G53" s="47"/>
      <c r="H53" s="53">
        <v>1617200000</v>
      </c>
      <c r="I53" s="53">
        <f>+[1]Posting!N85</f>
        <v>1257305250</v>
      </c>
      <c r="J53" s="53">
        <f>+[1]Posting!O85</f>
        <v>213100500</v>
      </c>
      <c r="K53" s="48">
        <f t="shared" si="14"/>
        <v>1470405750</v>
      </c>
      <c r="L53" s="53">
        <f t="shared" si="1"/>
        <v>146794250</v>
      </c>
      <c r="M53" s="54">
        <f t="shared" si="3"/>
        <v>0.9092293779371754</v>
      </c>
      <c r="N53" s="48">
        <v>200000000</v>
      </c>
      <c r="O53" s="48">
        <f t="shared" si="7"/>
        <v>1670405750</v>
      </c>
      <c r="P53" s="48">
        <f t="shared" si="8"/>
        <v>-53205750</v>
      </c>
      <c r="Q53" s="54">
        <f t="shared" si="2"/>
        <v>1.032899919614148</v>
      </c>
    </row>
    <row r="54" spans="1:17">
      <c r="A54" s="22"/>
      <c r="B54" s="39"/>
      <c r="C54" s="45"/>
      <c r="D54" s="58"/>
      <c r="E54" s="58"/>
      <c r="F54" s="58"/>
      <c r="G54" s="59"/>
      <c r="H54" s="48"/>
      <c r="I54" s="48"/>
      <c r="J54" s="48"/>
      <c r="K54" s="48"/>
      <c r="L54" s="48">
        <f t="shared" si="1"/>
        <v>0</v>
      </c>
      <c r="M54" s="49" t="e">
        <f t="shared" si="3"/>
        <v>#DIV/0!</v>
      </c>
      <c r="N54" s="48"/>
      <c r="O54" s="48">
        <f t="shared" si="7"/>
        <v>0</v>
      </c>
      <c r="P54" s="48">
        <f t="shared" si="8"/>
        <v>0</v>
      </c>
      <c r="Q54" s="49" t="e">
        <f t="shared" si="2"/>
        <v>#DIV/0!</v>
      </c>
    </row>
    <row r="55" spans="1:17">
      <c r="A55" s="22"/>
      <c r="B55" s="39"/>
      <c r="C55" s="40" t="s">
        <v>48</v>
      </c>
      <c r="D55" s="41" t="s">
        <v>51</v>
      </c>
      <c r="E55" s="41"/>
      <c r="F55" s="60"/>
      <c r="G55" s="42"/>
      <c r="H55" s="51">
        <v>2173936000</v>
      </c>
      <c r="I55" s="51">
        <f>SUM(I56:I60)</f>
        <v>1978090001</v>
      </c>
      <c r="J55" s="51">
        <f>SUM(J56:J60)</f>
        <v>132152244</v>
      </c>
      <c r="K55" s="51">
        <f>SUM(K56:K60)</f>
        <v>2110242245</v>
      </c>
      <c r="L55" s="51">
        <f t="shared" si="1"/>
        <v>63693755</v>
      </c>
      <c r="M55" s="52">
        <f t="shared" si="3"/>
        <v>0.97070118209551703</v>
      </c>
      <c r="N55" s="51">
        <f>SUM(N56:N60)</f>
        <v>158500000</v>
      </c>
      <c r="O55" s="48">
        <f t="shared" si="7"/>
        <v>2268742245</v>
      </c>
      <c r="P55" s="48">
        <f t="shared" si="8"/>
        <v>-94806245</v>
      </c>
      <c r="Q55" s="52">
        <f t="shared" si="2"/>
        <v>1.0436104121740475</v>
      </c>
    </row>
    <row r="56" spans="1:17">
      <c r="A56" s="22" t="s">
        <v>106</v>
      </c>
      <c r="B56" s="39"/>
      <c r="C56" s="45"/>
      <c r="D56" s="45" t="s">
        <v>107</v>
      </c>
      <c r="E56" s="46" t="s">
        <v>108</v>
      </c>
      <c r="F56" s="57"/>
      <c r="G56" s="47"/>
      <c r="H56" s="53">
        <v>288700000</v>
      </c>
      <c r="I56" s="53">
        <f>+[1]Posting!N87</f>
        <v>245480850</v>
      </c>
      <c r="J56" s="53">
        <f>+[1]Posting!O87</f>
        <v>29560250</v>
      </c>
      <c r="K56" s="48">
        <f t="shared" ref="K56:K60" si="15">+I56+J56</f>
        <v>275041100</v>
      </c>
      <c r="L56" s="53">
        <f t="shared" si="1"/>
        <v>13658900</v>
      </c>
      <c r="M56" s="54">
        <f t="shared" si="3"/>
        <v>0.95268825770696219</v>
      </c>
      <c r="N56" s="48">
        <v>48500000</v>
      </c>
      <c r="O56" s="48">
        <f t="shared" si="7"/>
        <v>323541100</v>
      </c>
      <c r="P56" s="48">
        <f t="shared" si="8"/>
        <v>-34841100</v>
      </c>
      <c r="Q56" s="54">
        <f t="shared" si="2"/>
        <v>1.1206827156217527</v>
      </c>
    </row>
    <row r="57" spans="1:17">
      <c r="A57" s="22" t="s">
        <v>109</v>
      </c>
      <c r="B57" s="39"/>
      <c r="C57" s="45"/>
      <c r="D57" s="45" t="s">
        <v>110</v>
      </c>
      <c r="E57" s="46" t="s">
        <v>111</v>
      </c>
      <c r="F57" s="57"/>
      <c r="G57" s="47"/>
      <c r="H57" s="48">
        <v>1442736000</v>
      </c>
      <c r="I57" s="53">
        <f>+[1]Posting!N93</f>
        <v>1401203400</v>
      </c>
      <c r="J57" s="53">
        <f>+[1]Posting!O93</f>
        <v>29315500</v>
      </c>
      <c r="K57" s="48">
        <f t="shared" si="15"/>
        <v>1430518900</v>
      </c>
      <c r="L57" s="53">
        <f>+H57-K57</f>
        <v>12217100</v>
      </c>
      <c r="M57" s="54">
        <f t="shared" si="3"/>
        <v>0.99153199199299114</v>
      </c>
      <c r="N57" s="48">
        <v>50000000</v>
      </c>
      <c r="O57" s="48">
        <f t="shared" si="7"/>
        <v>1480518900</v>
      </c>
      <c r="P57" s="48">
        <f t="shared" si="8"/>
        <v>-37782900</v>
      </c>
      <c r="Q57" s="54">
        <f t="shared" si="2"/>
        <v>1.0261883671025052</v>
      </c>
    </row>
    <row r="58" spans="1:17">
      <c r="A58" s="22" t="s">
        <v>112</v>
      </c>
      <c r="B58" s="39"/>
      <c r="C58" s="45"/>
      <c r="D58" s="45" t="s">
        <v>113</v>
      </c>
      <c r="E58" s="61" t="s">
        <v>114</v>
      </c>
      <c r="F58" s="57"/>
      <c r="G58" s="47"/>
      <c r="H58" s="53">
        <v>0</v>
      </c>
      <c r="I58" s="53">
        <f>+[1]Posting!N101</f>
        <v>0</v>
      </c>
      <c r="J58" s="53">
        <f>+[1]Posting!O101</f>
        <v>0</v>
      </c>
      <c r="K58" s="48">
        <f t="shared" si="15"/>
        <v>0</v>
      </c>
      <c r="L58" s="53">
        <f t="shared" si="1"/>
        <v>0</v>
      </c>
      <c r="M58" s="54" t="e">
        <f t="shared" si="3"/>
        <v>#DIV/0!</v>
      </c>
      <c r="N58" s="48">
        <v>0</v>
      </c>
      <c r="O58" s="48">
        <f t="shared" si="7"/>
        <v>0</v>
      </c>
      <c r="P58" s="48">
        <f t="shared" si="8"/>
        <v>0</v>
      </c>
      <c r="Q58" s="54" t="e">
        <f t="shared" si="2"/>
        <v>#DIV/0!</v>
      </c>
    </row>
    <row r="59" spans="1:17">
      <c r="A59" s="22" t="s">
        <v>115</v>
      </c>
      <c r="B59" s="39"/>
      <c r="C59" s="45"/>
      <c r="D59" s="45" t="s">
        <v>116</v>
      </c>
      <c r="E59" s="61" t="s">
        <v>117</v>
      </c>
      <c r="F59" s="57"/>
      <c r="G59" s="47"/>
      <c r="H59" s="53">
        <v>437100000</v>
      </c>
      <c r="I59" s="53">
        <f>+[1]Posting!N105</f>
        <v>326080751</v>
      </c>
      <c r="J59" s="53">
        <f>+[1]Posting!O105</f>
        <v>73276494</v>
      </c>
      <c r="K59" s="48">
        <f t="shared" si="15"/>
        <v>399357245</v>
      </c>
      <c r="L59" s="53">
        <f t="shared" si="1"/>
        <v>37742755</v>
      </c>
      <c r="M59" s="54">
        <f t="shared" si="3"/>
        <v>0.91365189887897502</v>
      </c>
      <c r="N59" s="48">
        <v>60000000</v>
      </c>
      <c r="O59" s="48">
        <f t="shared" si="7"/>
        <v>459357245</v>
      </c>
      <c r="P59" s="48">
        <f t="shared" si="8"/>
        <v>-22257245</v>
      </c>
      <c r="Q59" s="54">
        <f t="shared" si="2"/>
        <v>1.0509202585220774</v>
      </c>
    </row>
    <row r="60" spans="1:17">
      <c r="A60" s="22" t="s">
        <v>118</v>
      </c>
      <c r="B60" s="39"/>
      <c r="C60" s="45"/>
      <c r="D60" s="45" t="s">
        <v>119</v>
      </c>
      <c r="E60" s="61" t="s">
        <v>120</v>
      </c>
      <c r="F60" s="57"/>
      <c r="G60" s="47"/>
      <c r="H60" s="48">
        <v>5400000</v>
      </c>
      <c r="I60" s="53">
        <f>+[1]Posting!N111</f>
        <v>5325000</v>
      </c>
      <c r="J60" s="53">
        <f>+[1]Posting!O111</f>
        <v>0</v>
      </c>
      <c r="K60" s="48">
        <f t="shared" si="15"/>
        <v>5325000</v>
      </c>
      <c r="L60" s="53">
        <f t="shared" si="1"/>
        <v>75000</v>
      </c>
      <c r="M60" s="54">
        <f t="shared" si="3"/>
        <v>0.98611111111111116</v>
      </c>
      <c r="N60" s="48">
        <v>0</v>
      </c>
      <c r="O60" s="48">
        <f t="shared" si="7"/>
        <v>5325000</v>
      </c>
      <c r="P60" s="48">
        <f t="shared" si="8"/>
        <v>75000</v>
      </c>
      <c r="Q60" s="54">
        <f t="shared" si="2"/>
        <v>0.98611111111111116</v>
      </c>
    </row>
    <row r="61" spans="1:17">
      <c r="A61" s="22"/>
      <c r="B61" s="39"/>
      <c r="C61" s="45"/>
      <c r="D61" s="45"/>
      <c r="E61" s="46"/>
      <c r="F61" s="57"/>
      <c r="G61" s="47"/>
      <c r="H61" s="53"/>
      <c r="I61" s="53"/>
      <c r="J61" s="53"/>
      <c r="K61" s="53"/>
      <c r="L61" s="53">
        <f t="shared" si="1"/>
        <v>0</v>
      </c>
      <c r="M61" s="54" t="e">
        <f t="shared" si="3"/>
        <v>#DIV/0!</v>
      </c>
      <c r="N61" s="53"/>
      <c r="O61" s="48">
        <f t="shared" si="7"/>
        <v>0</v>
      </c>
      <c r="P61" s="48">
        <f t="shared" si="8"/>
        <v>0</v>
      </c>
      <c r="Q61" s="54" t="e">
        <f t="shared" si="2"/>
        <v>#DIV/0!</v>
      </c>
    </row>
    <row r="62" spans="1:17">
      <c r="A62" s="22"/>
      <c r="B62" s="39"/>
      <c r="C62" s="40" t="s">
        <v>50</v>
      </c>
      <c r="D62" s="41" t="s">
        <v>121</v>
      </c>
      <c r="E62" s="41"/>
      <c r="F62" s="60"/>
      <c r="G62" s="42"/>
      <c r="H62" s="51">
        <v>4794750000</v>
      </c>
      <c r="I62" s="51">
        <f>SUM(I63:I82)</f>
        <v>3851422513</v>
      </c>
      <c r="J62" s="51">
        <f>SUM(J63:J82)</f>
        <v>528685851</v>
      </c>
      <c r="K62" s="51">
        <f>SUM(K63:K82)</f>
        <v>4380108364</v>
      </c>
      <c r="L62" s="51">
        <f>+H62-K62</f>
        <v>414641636</v>
      </c>
      <c r="M62" s="52">
        <f t="shared" si="3"/>
        <v>0.91352174023671728</v>
      </c>
      <c r="N62" s="51">
        <f>SUM(N63:N82)</f>
        <v>646673152</v>
      </c>
      <c r="O62" s="48">
        <f t="shared" si="7"/>
        <v>5026781516</v>
      </c>
      <c r="P62" s="48">
        <f t="shared" si="8"/>
        <v>-232031516</v>
      </c>
      <c r="Q62" s="52">
        <f t="shared" si="2"/>
        <v>1.0483928288231921</v>
      </c>
    </row>
    <row r="63" spans="1:17">
      <c r="A63" s="22" t="s">
        <v>122</v>
      </c>
      <c r="B63" s="39"/>
      <c r="C63" s="45"/>
      <c r="D63" s="45" t="s">
        <v>53</v>
      </c>
      <c r="E63" s="61" t="s">
        <v>123</v>
      </c>
      <c r="F63" s="57"/>
      <c r="G63" s="47"/>
      <c r="H63" s="53">
        <v>19700000</v>
      </c>
      <c r="I63" s="53">
        <f>+[1]Posting!N116</f>
        <v>18211195</v>
      </c>
      <c r="J63" s="53">
        <f>+[1]Posting!O116</f>
        <v>1373500</v>
      </c>
      <c r="K63" s="48">
        <f t="shared" ref="K63:K82" si="16">+I63+J63</f>
        <v>19584695</v>
      </c>
      <c r="L63" s="53">
        <f t="shared" si="1"/>
        <v>115305</v>
      </c>
      <c r="M63" s="54">
        <f t="shared" si="3"/>
        <v>0.99414695431472078</v>
      </c>
      <c r="N63" s="48">
        <v>1000000</v>
      </c>
      <c r="O63" s="48">
        <f t="shared" si="7"/>
        <v>20584695</v>
      </c>
      <c r="P63" s="48">
        <f t="shared" si="8"/>
        <v>-884695</v>
      </c>
      <c r="Q63" s="54">
        <f t="shared" si="2"/>
        <v>1.0449083756345177</v>
      </c>
    </row>
    <row r="64" spans="1:17">
      <c r="A64" s="22" t="s">
        <v>124</v>
      </c>
      <c r="B64" s="39"/>
      <c r="C64" s="45"/>
      <c r="D64" s="45" t="s">
        <v>56</v>
      </c>
      <c r="E64" s="61" t="s">
        <v>125</v>
      </c>
      <c r="F64" s="57"/>
      <c r="G64" s="47"/>
      <c r="H64" s="53">
        <v>291400000</v>
      </c>
      <c r="I64" s="53">
        <f>+[1]Posting!N117</f>
        <v>245303267</v>
      </c>
      <c r="J64" s="53">
        <f>+[1]Posting!O117</f>
        <v>30316645</v>
      </c>
      <c r="K64" s="48">
        <f t="shared" si="16"/>
        <v>275619912</v>
      </c>
      <c r="L64" s="53">
        <f t="shared" si="1"/>
        <v>15780088</v>
      </c>
      <c r="M64" s="54">
        <f t="shared" si="3"/>
        <v>0.9458473301304049</v>
      </c>
      <c r="N64" s="48">
        <v>10000000</v>
      </c>
      <c r="O64" s="48">
        <f t="shared" si="7"/>
        <v>285619912</v>
      </c>
      <c r="P64" s="48">
        <f t="shared" si="8"/>
        <v>5780088</v>
      </c>
      <c r="Q64" s="54">
        <f t="shared" si="2"/>
        <v>0.98016442004118054</v>
      </c>
    </row>
    <row r="65" spans="1:17">
      <c r="A65" s="22" t="s">
        <v>126</v>
      </c>
      <c r="B65" s="39"/>
      <c r="C65" s="45"/>
      <c r="D65" s="45" t="s">
        <v>127</v>
      </c>
      <c r="E65" s="61" t="s">
        <v>128</v>
      </c>
      <c r="F65" s="57"/>
      <c r="G65" s="47"/>
      <c r="H65" s="53">
        <v>127700000</v>
      </c>
      <c r="I65" s="53">
        <f>+[1]Posting!N118</f>
        <v>99291627</v>
      </c>
      <c r="J65" s="53">
        <f>+[1]Posting!O118</f>
        <v>18452516</v>
      </c>
      <c r="K65" s="48">
        <f t="shared" si="16"/>
        <v>117744143</v>
      </c>
      <c r="L65" s="53">
        <f t="shared" si="1"/>
        <v>9955857</v>
      </c>
      <c r="M65" s="54">
        <f t="shared" si="3"/>
        <v>0.92203714173844953</v>
      </c>
      <c r="N65" s="48">
        <v>10000000</v>
      </c>
      <c r="O65" s="48">
        <f t="shared" si="7"/>
        <v>127744143</v>
      </c>
      <c r="P65" s="48">
        <f t="shared" si="8"/>
        <v>-44143</v>
      </c>
      <c r="Q65" s="54">
        <f t="shared" si="2"/>
        <v>1.0003456773688333</v>
      </c>
    </row>
    <row r="66" spans="1:17">
      <c r="A66" s="22" t="s">
        <v>129</v>
      </c>
      <c r="B66" s="39"/>
      <c r="C66" s="45"/>
      <c r="D66" s="45" t="s">
        <v>130</v>
      </c>
      <c r="E66" s="61" t="s">
        <v>131</v>
      </c>
      <c r="F66" s="57"/>
      <c r="G66" s="47"/>
      <c r="H66" s="53">
        <v>0</v>
      </c>
      <c r="I66" s="53">
        <f>+[1]Posting!N125</f>
        <v>0</v>
      </c>
      <c r="J66" s="53">
        <f>+[1]Posting!O125</f>
        <v>0</v>
      </c>
      <c r="K66" s="48">
        <f t="shared" si="16"/>
        <v>0</v>
      </c>
      <c r="L66" s="53">
        <f t="shared" si="1"/>
        <v>0</v>
      </c>
      <c r="M66" s="54" t="e">
        <f t="shared" si="3"/>
        <v>#DIV/0!</v>
      </c>
      <c r="N66" s="48">
        <v>0</v>
      </c>
      <c r="O66" s="48">
        <f t="shared" si="7"/>
        <v>0</v>
      </c>
      <c r="P66" s="48">
        <f t="shared" si="8"/>
        <v>0</v>
      </c>
      <c r="Q66" s="54" t="e">
        <f t="shared" si="2"/>
        <v>#DIV/0!</v>
      </c>
    </row>
    <row r="67" spans="1:17">
      <c r="A67" s="22" t="s">
        <v>132</v>
      </c>
      <c r="B67" s="39"/>
      <c r="C67" s="45"/>
      <c r="D67" s="45" t="s">
        <v>133</v>
      </c>
      <c r="E67" s="61" t="s">
        <v>134</v>
      </c>
      <c r="F67" s="57"/>
      <c r="G67" s="47"/>
      <c r="H67" s="48">
        <v>156860000</v>
      </c>
      <c r="I67" s="53">
        <f>+[1]Posting!N126</f>
        <v>122539077</v>
      </c>
      <c r="J67" s="53">
        <f>+[1]Posting!O126</f>
        <v>31546544</v>
      </c>
      <c r="K67" s="48">
        <f t="shared" si="16"/>
        <v>154085621</v>
      </c>
      <c r="L67" s="53">
        <f t="shared" si="1"/>
        <v>2774379</v>
      </c>
      <c r="M67" s="54">
        <f t="shared" si="3"/>
        <v>0.98231302435292622</v>
      </c>
      <c r="N67" s="48">
        <v>4700000</v>
      </c>
      <c r="O67" s="48">
        <f t="shared" si="7"/>
        <v>158785621</v>
      </c>
      <c r="P67" s="48">
        <f t="shared" si="8"/>
        <v>-1925621</v>
      </c>
      <c r="Q67" s="54">
        <f t="shared" si="2"/>
        <v>1.0122760487058524</v>
      </c>
    </row>
    <row r="68" spans="1:17">
      <c r="A68" s="22" t="s">
        <v>135</v>
      </c>
      <c r="B68" s="39"/>
      <c r="C68" s="45"/>
      <c r="D68" s="45" t="s">
        <v>136</v>
      </c>
      <c r="E68" s="61" t="s">
        <v>137</v>
      </c>
      <c r="F68" s="57"/>
      <c r="G68" s="47"/>
      <c r="H68" s="48">
        <v>109500000</v>
      </c>
      <c r="I68" s="53">
        <f>+[1]Posting!N127</f>
        <v>71503000</v>
      </c>
      <c r="J68" s="53">
        <f>+[1]Posting!O127</f>
        <v>0</v>
      </c>
      <c r="K68" s="48">
        <f t="shared" si="16"/>
        <v>71503000</v>
      </c>
      <c r="L68" s="53">
        <f t="shared" si="1"/>
        <v>37997000</v>
      </c>
      <c r="M68" s="54">
        <f t="shared" si="3"/>
        <v>0.65299543378995428</v>
      </c>
      <c r="N68" s="48">
        <v>7000000</v>
      </c>
      <c r="O68" s="48">
        <f t="shared" si="7"/>
        <v>78503000</v>
      </c>
      <c r="P68" s="48">
        <f t="shared" si="8"/>
        <v>30997000</v>
      </c>
      <c r="Q68" s="54">
        <f t="shared" si="2"/>
        <v>0.7169223744292238</v>
      </c>
    </row>
    <row r="69" spans="1:17">
      <c r="A69" s="22" t="s">
        <v>138</v>
      </c>
      <c r="B69" s="39"/>
      <c r="C69" s="45"/>
      <c r="D69" s="45" t="s">
        <v>139</v>
      </c>
      <c r="E69" s="62" t="s">
        <v>140</v>
      </c>
      <c r="F69" s="57"/>
      <c r="G69" s="47"/>
      <c r="H69" s="53">
        <v>1223800000</v>
      </c>
      <c r="I69" s="53">
        <f>+[1]Posting!N132</f>
        <v>1015941494</v>
      </c>
      <c r="J69" s="53">
        <f>+[1]Posting!O132</f>
        <v>106958232</v>
      </c>
      <c r="K69" s="48">
        <f t="shared" si="16"/>
        <v>1122899726</v>
      </c>
      <c r="L69" s="53">
        <f t="shared" si="1"/>
        <v>100900274</v>
      </c>
      <c r="M69" s="54">
        <f t="shared" si="3"/>
        <v>0.91755166367053442</v>
      </c>
      <c r="N69" s="48">
        <f>20000000*2+106000000+1870000*2</f>
        <v>149740000</v>
      </c>
      <c r="O69" s="48">
        <f t="shared" si="7"/>
        <v>1272639726</v>
      </c>
      <c r="P69" s="48">
        <f t="shared" si="8"/>
        <v>-48839726</v>
      </c>
      <c r="Q69" s="54">
        <f t="shared" si="2"/>
        <v>1.0399082578852754</v>
      </c>
    </row>
    <row r="70" spans="1:17">
      <c r="A70" s="22" t="s">
        <v>141</v>
      </c>
      <c r="B70" s="39"/>
      <c r="C70" s="45"/>
      <c r="D70" s="45" t="s">
        <v>142</v>
      </c>
      <c r="E70" s="62" t="s">
        <v>143</v>
      </c>
      <c r="F70" s="57"/>
      <c r="G70" s="47"/>
      <c r="H70" s="53">
        <v>16400000</v>
      </c>
      <c r="I70" s="53">
        <f>+[1]Posting!N137</f>
        <v>12026000</v>
      </c>
      <c r="J70" s="53">
        <f>+[1]Posting!O137</f>
        <v>610000</v>
      </c>
      <c r="K70" s="48">
        <f t="shared" si="16"/>
        <v>12636000</v>
      </c>
      <c r="L70" s="53">
        <f t="shared" si="1"/>
        <v>3764000</v>
      </c>
      <c r="M70" s="54">
        <f t="shared" si="3"/>
        <v>0.7704878048780488</v>
      </c>
      <c r="N70" s="48">
        <f>750000*2+150000+120000</f>
        <v>1770000</v>
      </c>
      <c r="O70" s="48">
        <f t="shared" si="7"/>
        <v>14406000</v>
      </c>
      <c r="P70" s="48">
        <f t="shared" si="8"/>
        <v>1994000</v>
      </c>
      <c r="Q70" s="54">
        <f t="shared" si="2"/>
        <v>0.87841463414634147</v>
      </c>
    </row>
    <row r="71" spans="1:17">
      <c r="A71" s="22" t="s">
        <v>144</v>
      </c>
      <c r="B71" s="39"/>
      <c r="C71" s="45"/>
      <c r="D71" s="45" t="s">
        <v>145</v>
      </c>
      <c r="E71" s="61" t="s">
        <v>146</v>
      </c>
      <c r="F71" s="46"/>
      <c r="G71" s="47"/>
      <c r="H71" s="53">
        <v>158500000</v>
      </c>
      <c r="I71" s="53">
        <f>+[1]Posting!N143</f>
        <v>135715030</v>
      </c>
      <c r="J71" s="53">
        <f>+[1]Posting!O143</f>
        <v>19209500</v>
      </c>
      <c r="K71" s="48">
        <f t="shared" si="16"/>
        <v>154924530</v>
      </c>
      <c r="L71" s="53">
        <f t="shared" si="1"/>
        <v>3575470</v>
      </c>
      <c r="M71" s="54">
        <f t="shared" si="3"/>
        <v>0.97744182965299686</v>
      </c>
      <c r="N71" s="48">
        <v>20000000</v>
      </c>
      <c r="O71" s="48">
        <f t="shared" si="7"/>
        <v>174924530</v>
      </c>
      <c r="P71" s="48">
        <f t="shared" si="8"/>
        <v>-16424530</v>
      </c>
      <c r="Q71" s="54">
        <f t="shared" si="2"/>
        <v>1.1036247949526814</v>
      </c>
    </row>
    <row r="72" spans="1:17">
      <c r="A72" s="22" t="s">
        <v>147</v>
      </c>
      <c r="B72" s="39"/>
      <c r="C72" s="45"/>
      <c r="D72" s="45" t="s">
        <v>148</v>
      </c>
      <c r="E72" s="61" t="s">
        <v>149</v>
      </c>
      <c r="F72" s="46"/>
      <c r="G72" s="47"/>
      <c r="H72" s="53">
        <v>14200000</v>
      </c>
      <c r="I72" s="53">
        <f>+[1]Posting!N144</f>
        <v>14157500</v>
      </c>
      <c r="J72" s="53">
        <f>+[1]Posting!O144</f>
        <v>0</v>
      </c>
      <c r="K72" s="48">
        <f t="shared" si="16"/>
        <v>14157500</v>
      </c>
      <c r="L72" s="53">
        <f t="shared" si="1"/>
        <v>42500</v>
      </c>
      <c r="M72" s="54">
        <f t="shared" si="3"/>
        <v>0.9970070422535211</v>
      </c>
      <c r="N72" s="48">
        <v>0</v>
      </c>
      <c r="O72" s="48">
        <f t="shared" si="7"/>
        <v>14157500</v>
      </c>
      <c r="P72" s="48">
        <f t="shared" si="8"/>
        <v>42500</v>
      </c>
      <c r="Q72" s="54">
        <f t="shared" si="2"/>
        <v>0.9970070422535211</v>
      </c>
    </row>
    <row r="73" spans="1:17">
      <c r="A73" s="22" t="s">
        <v>150</v>
      </c>
      <c r="B73" s="39"/>
      <c r="C73" s="45"/>
      <c r="D73" s="45" t="s">
        <v>151</v>
      </c>
      <c r="E73" s="61" t="s">
        <v>152</v>
      </c>
      <c r="F73" s="46"/>
      <c r="G73" s="47"/>
      <c r="H73" s="53">
        <v>18300000</v>
      </c>
      <c r="I73" s="53">
        <f>+[1]Posting!N145</f>
        <v>16935000</v>
      </c>
      <c r="J73" s="53">
        <f>+[1]Posting!O145</f>
        <v>810000</v>
      </c>
      <c r="K73" s="48">
        <f t="shared" si="16"/>
        <v>17745000</v>
      </c>
      <c r="L73" s="53">
        <f t="shared" si="1"/>
        <v>555000</v>
      </c>
      <c r="M73" s="54">
        <f t="shared" si="3"/>
        <v>0.96967213114754103</v>
      </c>
      <c r="N73" s="48">
        <v>2000000</v>
      </c>
      <c r="O73" s="48">
        <f t="shared" si="7"/>
        <v>19745000</v>
      </c>
      <c r="P73" s="48">
        <f t="shared" si="8"/>
        <v>-1445000</v>
      </c>
      <c r="Q73" s="54">
        <f t="shared" si="2"/>
        <v>1.0789617486338798</v>
      </c>
    </row>
    <row r="74" spans="1:17">
      <c r="A74" s="22" t="s">
        <v>153</v>
      </c>
      <c r="B74" s="39"/>
      <c r="C74" s="45"/>
      <c r="D74" s="45" t="s">
        <v>154</v>
      </c>
      <c r="E74" s="46" t="s">
        <v>155</v>
      </c>
      <c r="F74" s="57"/>
      <c r="G74" s="47"/>
      <c r="H74" s="53">
        <v>131000000</v>
      </c>
      <c r="I74" s="53">
        <f>+[1]Posting!N146</f>
        <v>122859961</v>
      </c>
      <c r="J74" s="53">
        <f>+[1]Posting!O146</f>
        <v>8115906</v>
      </c>
      <c r="K74" s="48">
        <f t="shared" si="16"/>
        <v>130975867</v>
      </c>
      <c r="L74" s="53">
        <f t="shared" si="1"/>
        <v>24133</v>
      </c>
      <c r="M74" s="54">
        <f t="shared" si="3"/>
        <v>0.99981577862595417</v>
      </c>
      <c r="N74" s="48">
        <v>30000000</v>
      </c>
      <c r="O74" s="48">
        <f t="shared" si="7"/>
        <v>160975867</v>
      </c>
      <c r="P74" s="48">
        <f t="shared" si="8"/>
        <v>-29975867</v>
      </c>
      <c r="Q74" s="54">
        <f t="shared" si="2"/>
        <v>1.2288234122137405</v>
      </c>
    </row>
    <row r="75" spans="1:17">
      <c r="A75" s="22" t="s">
        <v>156</v>
      </c>
      <c r="B75" s="39"/>
      <c r="C75" s="45"/>
      <c r="D75" s="45" t="s">
        <v>157</v>
      </c>
      <c r="E75" s="46" t="s">
        <v>158</v>
      </c>
      <c r="F75" s="57"/>
      <c r="G75" s="47"/>
      <c r="H75" s="53">
        <v>13660000</v>
      </c>
      <c r="I75" s="53">
        <f>+[1]Posting!N147</f>
        <v>11832513</v>
      </c>
      <c r="J75" s="53">
        <f>+[1]Posting!O147</f>
        <v>1782500</v>
      </c>
      <c r="K75" s="48">
        <f t="shared" si="16"/>
        <v>13615013</v>
      </c>
      <c r="L75" s="53">
        <f t="shared" si="1"/>
        <v>44987</v>
      </c>
      <c r="M75" s="54">
        <f t="shared" si="3"/>
        <v>0.99670666178623724</v>
      </c>
      <c r="N75" s="48">
        <v>0</v>
      </c>
      <c r="O75" s="48">
        <f t="shared" si="7"/>
        <v>13615013</v>
      </c>
      <c r="P75" s="48">
        <f t="shared" si="8"/>
        <v>44987</v>
      </c>
      <c r="Q75" s="54">
        <f t="shared" si="2"/>
        <v>0.99670666178623724</v>
      </c>
    </row>
    <row r="76" spans="1:17" ht="15.75" customHeight="1">
      <c r="A76" s="22" t="s">
        <v>159</v>
      </c>
      <c r="B76" s="39"/>
      <c r="C76" s="45"/>
      <c r="D76" s="45" t="s">
        <v>160</v>
      </c>
      <c r="E76" s="46" t="s">
        <v>161</v>
      </c>
      <c r="F76" s="57"/>
      <c r="G76" s="47"/>
      <c r="H76" s="63">
        <v>1059800000</v>
      </c>
      <c r="I76" s="53">
        <f>+[1]Posting!N148</f>
        <v>721115000</v>
      </c>
      <c r="J76" s="53">
        <f>+[1]Posting!O148</f>
        <v>192550000</v>
      </c>
      <c r="K76" s="48">
        <f t="shared" si="16"/>
        <v>913665000</v>
      </c>
      <c r="L76" s="53">
        <f t="shared" si="1"/>
        <v>146135000</v>
      </c>
      <c r="M76" s="54">
        <f t="shared" si="3"/>
        <v>0.86211077561804117</v>
      </c>
      <c r="N76" s="48">
        <f>49811000*2+46464000*2</f>
        <v>192550000</v>
      </c>
      <c r="O76" s="48">
        <f t="shared" si="7"/>
        <v>1106215000</v>
      </c>
      <c r="P76" s="48">
        <f t="shared" si="8"/>
        <v>-46415000</v>
      </c>
      <c r="Q76" s="54">
        <f t="shared" si="2"/>
        <v>1.0437959992451407</v>
      </c>
    </row>
    <row r="77" spans="1:17" ht="15.75" customHeight="1">
      <c r="A77" s="22" t="s">
        <v>162</v>
      </c>
      <c r="B77" s="39"/>
      <c r="C77" s="45"/>
      <c r="D77" s="45" t="s">
        <v>163</v>
      </c>
      <c r="E77" s="62" t="s">
        <v>164</v>
      </c>
      <c r="F77" s="57"/>
      <c r="G77" s="47"/>
      <c r="H77" s="63">
        <v>337000000</v>
      </c>
      <c r="I77" s="53">
        <f>+[1]Posting!N149</f>
        <v>255520261</v>
      </c>
      <c r="J77" s="53">
        <f>+[1]Posting!O149</f>
        <v>25507500</v>
      </c>
      <c r="K77" s="48">
        <f t="shared" si="16"/>
        <v>281027761</v>
      </c>
      <c r="L77" s="53">
        <f t="shared" si="1"/>
        <v>55972239</v>
      </c>
      <c r="M77" s="54">
        <f t="shared" si="3"/>
        <v>0.83391027002967355</v>
      </c>
      <c r="N77" s="48">
        <v>77000000</v>
      </c>
      <c r="O77" s="48">
        <f t="shared" si="7"/>
        <v>358027761</v>
      </c>
      <c r="P77" s="48">
        <f t="shared" si="8"/>
        <v>-21027761</v>
      </c>
      <c r="Q77" s="54">
        <f t="shared" si="2"/>
        <v>1.0623969169139467</v>
      </c>
    </row>
    <row r="78" spans="1:17" ht="15.75" customHeight="1">
      <c r="A78" s="22" t="s">
        <v>165</v>
      </c>
      <c r="B78" s="39"/>
      <c r="C78" s="45"/>
      <c r="D78" s="45" t="s">
        <v>166</v>
      </c>
      <c r="E78" s="61" t="s">
        <v>167</v>
      </c>
      <c r="F78" s="46"/>
      <c r="G78" s="47"/>
      <c r="H78" s="53">
        <v>23050000</v>
      </c>
      <c r="I78" s="53">
        <f>+[1]Posting!N159</f>
        <v>19257500</v>
      </c>
      <c r="J78" s="53">
        <f>+[1]Posting!O159</f>
        <v>0</v>
      </c>
      <c r="K78" s="48">
        <f t="shared" si="16"/>
        <v>19257500</v>
      </c>
      <c r="L78" s="53">
        <f t="shared" ref="L78:L100" si="17">+H78-K78</f>
        <v>3792500</v>
      </c>
      <c r="M78" s="54">
        <f t="shared" si="3"/>
        <v>0.83546637744034702</v>
      </c>
      <c r="N78" s="48">
        <v>400000</v>
      </c>
      <c r="O78" s="48">
        <f t="shared" si="7"/>
        <v>19657500</v>
      </c>
      <c r="P78" s="48">
        <f t="shared" si="8"/>
        <v>3392500</v>
      </c>
      <c r="Q78" s="54">
        <f t="shared" ref="Q78:Q104" si="18">+O78/H78</f>
        <v>0.85281995661605203</v>
      </c>
    </row>
    <row r="79" spans="1:17" ht="15.75" customHeight="1">
      <c r="A79" s="22" t="s">
        <v>168</v>
      </c>
      <c r="B79" s="39"/>
      <c r="C79" s="45"/>
      <c r="D79" s="45" t="s">
        <v>169</v>
      </c>
      <c r="E79" s="61" t="s">
        <v>170</v>
      </c>
      <c r="F79" s="46"/>
      <c r="G79" s="47"/>
      <c r="H79" s="53">
        <v>0</v>
      </c>
      <c r="I79" s="53">
        <f>+[1]Posting!N160</f>
        <v>0</v>
      </c>
      <c r="J79" s="53">
        <f>+[1]Posting!O160</f>
        <v>0</v>
      </c>
      <c r="K79" s="48">
        <f t="shared" si="16"/>
        <v>0</v>
      </c>
      <c r="L79" s="53">
        <f t="shared" si="17"/>
        <v>0</v>
      </c>
      <c r="M79" s="54" t="e">
        <f t="shared" ref="M79:M103" si="19">+K79/H79</f>
        <v>#DIV/0!</v>
      </c>
      <c r="N79" s="48"/>
      <c r="O79" s="48">
        <f t="shared" si="7"/>
        <v>0</v>
      </c>
      <c r="P79" s="48">
        <f t="shared" si="8"/>
        <v>0</v>
      </c>
      <c r="Q79" s="54" t="e">
        <f t="shared" si="18"/>
        <v>#DIV/0!</v>
      </c>
    </row>
    <row r="80" spans="1:17" ht="15.75" customHeight="1">
      <c r="A80" s="22" t="s">
        <v>171</v>
      </c>
      <c r="B80" s="39"/>
      <c r="C80" s="45"/>
      <c r="D80" s="45" t="s">
        <v>172</v>
      </c>
      <c r="E80" s="61" t="s">
        <v>173</v>
      </c>
      <c r="F80" s="46"/>
      <c r="G80" s="47"/>
      <c r="H80" s="53">
        <v>364800000</v>
      </c>
      <c r="I80" s="53">
        <f>+[1]Posting!N161</f>
        <v>247123088</v>
      </c>
      <c r="J80" s="53">
        <f>+[1]Posting!O161</f>
        <v>88009008</v>
      </c>
      <c r="K80" s="48">
        <f t="shared" si="16"/>
        <v>335132096</v>
      </c>
      <c r="L80" s="53">
        <f t="shared" si="17"/>
        <v>29667904</v>
      </c>
      <c r="M80" s="54">
        <f t="shared" si="19"/>
        <v>0.91867350877192977</v>
      </c>
      <c r="N80" s="50">
        <v>29563152</v>
      </c>
      <c r="O80" s="48">
        <f t="shared" si="7"/>
        <v>364695248</v>
      </c>
      <c r="P80" s="48">
        <f t="shared" si="8"/>
        <v>104752</v>
      </c>
      <c r="Q80" s="54">
        <f t="shared" si="18"/>
        <v>0.99971285087719297</v>
      </c>
    </row>
    <row r="81" spans="1:17" ht="15.75" customHeight="1">
      <c r="A81" s="22" t="s">
        <v>174</v>
      </c>
      <c r="B81" s="39"/>
      <c r="C81" s="45"/>
      <c r="D81" s="45" t="s">
        <v>175</v>
      </c>
      <c r="E81" s="61" t="s">
        <v>176</v>
      </c>
      <c r="F81" s="46"/>
      <c r="G81" s="47"/>
      <c r="H81" s="53">
        <v>677300000</v>
      </c>
      <c r="I81" s="53">
        <f>+[1]Posting!N164</f>
        <v>677250000</v>
      </c>
      <c r="J81" s="53">
        <f>+[1]Posting!O164</f>
        <v>0</v>
      </c>
      <c r="K81" s="48">
        <f t="shared" si="16"/>
        <v>677250000</v>
      </c>
      <c r="L81" s="53">
        <f t="shared" si="17"/>
        <v>50000</v>
      </c>
      <c r="M81" s="54">
        <f t="shared" si="19"/>
        <v>0.99992617746936363</v>
      </c>
      <c r="N81" s="48">
        <v>107500000</v>
      </c>
      <c r="O81" s="48">
        <f t="shared" si="7"/>
        <v>784750000</v>
      </c>
      <c r="P81" s="48">
        <f t="shared" si="8"/>
        <v>-107450000</v>
      </c>
      <c r="Q81" s="54">
        <f t="shared" si="18"/>
        <v>1.1586446183375165</v>
      </c>
    </row>
    <row r="82" spans="1:17" ht="15.75" customHeight="1">
      <c r="A82" s="22" t="s">
        <v>177</v>
      </c>
      <c r="B82" s="39"/>
      <c r="C82" s="45"/>
      <c r="D82" s="45" t="s">
        <v>178</v>
      </c>
      <c r="E82" s="61" t="s">
        <v>179</v>
      </c>
      <c r="F82" s="46"/>
      <c r="G82" s="47"/>
      <c r="H82" s="53">
        <v>51780000</v>
      </c>
      <c r="I82" s="53">
        <f>+[1]Posting!N165</f>
        <v>44841000</v>
      </c>
      <c r="J82" s="53">
        <f>+[1]Posting!O165</f>
        <v>3444000</v>
      </c>
      <c r="K82" s="48">
        <f t="shared" si="16"/>
        <v>48285000</v>
      </c>
      <c r="L82" s="53">
        <f t="shared" si="17"/>
        <v>3495000</v>
      </c>
      <c r="M82" s="54">
        <f t="shared" si="19"/>
        <v>0.93250289687137888</v>
      </c>
      <c r="N82" s="48">
        <v>3450000</v>
      </c>
      <c r="O82" s="48">
        <f t="shared" si="7"/>
        <v>51735000</v>
      </c>
      <c r="P82" s="48">
        <f t="shared" si="8"/>
        <v>45000</v>
      </c>
      <c r="Q82" s="54">
        <f t="shared" si="18"/>
        <v>0.99913093858632673</v>
      </c>
    </row>
    <row r="83" spans="1:17">
      <c r="A83" s="64"/>
      <c r="B83" s="39"/>
      <c r="C83" s="40" t="s">
        <v>58</v>
      </c>
      <c r="D83" s="41" t="s">
        <v>180</v>
      </c>
      <c r="E83" s="41"/>
      <c r="F83" s="57"/>
      <c r="G83" s="47"/>
      <c r="H83" s="51">
        <v>455350000</v>
      </c>
      <c r="I83" s="51">
        <f>SUM(I84)</f>
        <v>394997081</v>
      </c>
      <c r="J83" s="51">
        <f>SUM(J84)</f>
        <v>34990000</v>
      </c>
      <c r="K83" s="51">
        <f>SUM(K84)</f>
        <v>429987081</v>
      </c>
      <c r="L83" s="51">
        <f t="shared" si="17"/>
        <v>25362919</v>
      </c>
      <c r="M83" s="52">
        <f t="shared" si="19"/>
        <v>0.94430016690457885</v>
      </c>
      <c r="N83" s="51">
        <f>SUM(N84)</f>
        <v>10000000</v>
      </c>
      <c r="O83" s="48">
        <f t="shared" si="7"/>
        <v>439987081</v>
      </c>
      <c r="P83" s="48">
        <f t="shared" si="8"/>
        <v>15362919</v>
      </c>
      <c r="Q83" s="52">
        <f t="shared" si="18"/>
        <v>0.96626129570659935</v>
      </c>
    </row>
    <row r="84" spans="1:17">
      <c r="A84" s="22" t="s">
        <v>181</v>
      </c>
      <c r="B84" s="39"/>
      <c r="C84" s="45"/>
      <c r="D84" s="45" t="s">
        <v>61</v>
      </c>
      <c r="E84" s="46" t="s">
        <v>182</v>
      </c>
      <c r="F84" s="57"/>
      <c r="G84" s="47"/>
      <c r="H84" s="53">
        <v>455350000</v>
      </c>
      <c r="I84" s="53">
        <f>+[1]Posting!N170</f>
        <v>394997081</v>
      </c>
      <c r="J84" s="53">
        <f>+[1]Posting!O170</f>
        <v>34990000</v>
      </c>
      <c r="K84" s="48">
        <f>+I84+J84</f>
        <v>429987081</v>
      </c>
      <c r="L84" s="53">
        <f t="shared" si="17"/>
        <v>25362919</v>
      </c>
      <c r="M84" s="54">
        <f t="shared" si="19"/>
        <v>0.94430016690457885</v>
      </c>
      <c r="N84" s="48">
        <f>5000000+5000000</f>
        <v>10000000</v>
      </c>
      <c r="O84" s="48">
        <f t="shared" ref="O84:O99" si="20">+K84+N84</f>
        <v>439987081</v>
      </c>
      <c r="P84" s="48">
        <f t="shared" ref="P84:P99" si="21">+H84-O84</f>
        <v>15362919</v>
      </c>
      <c r="Q84" s="54">
        <f t="shared" si="18"/>
        <v>0.96626129570659935</v>
      </c>
    </row>
    <row r="85" spans="1:17">
      <c r="A85" s="22"/>
      <c r="B85" s="39"/>
      <c r="C85" s="45"/>
      <c r="D85" s="45"/>
      <c r="E85" s="46"/>
      <c r="F85" s="57"/>
      <c r="G85" s="47"/>
      <c r="H85" s="53"/>
      <c r="I85" s="53"/>
      <c r="J85" s="53"/>
      <c r="K85" s="53"/>
      <c r="L85" s="53">
        <f t="shared" si="17"/>
        <v>0</v>
      </c>
      <c r="M85" s="54" t="e">
        <f t="shared" si="19"/>
        <v>#DIV/0!</v>
      </c>
      <c r="N85" s="53"/>
      <c r="O85" s="48">
        <f t="shared" si="20"/>
        <v>0</v>
      </c>
      <c r="P85" s="48">
        <f t="shared" si="21"/>
        <v>0</v>
      </c>
      <c r="Q85" s="54" t="e">
        <f t="shared" si="18"/>
        <v>#DIV/0!</v>
      </c>
    </row>
    <row r="86" spans="1:17">
      <c r="A86" s="22" t="s">
        <v>183</v>
      </c>
      <c r="B86" s="39"/>
      <c r="C86" s="40" t="s">
        <v>69</v>
      </c>
      <c r="D86" s="41" t="s">
        <v>70</v>
      </c>
      <c r="E86" s="41"/>
      <c r="F86" s="60"/>
      <c r="G86" s="47"/>
      <c r="H86" s="51">
        <v>7100000</v>
      </c>
      <c r="I86" s="51">
        <f>+[1]Posting!N177</f>
        <v>7060000</v>
      </c>
      <c r="J86" s="51">
        <f>+[1]Posting!O177</f>
        <v>0</v>
      </c>
      <c r="K86" s="51">
        <f>+[1]Posting!P177</f>
        <v>7060000</v>
      </c>
      <c r="L86" s="51">
        <f t="shared" si="17"/>
        <v>40000</v>
      </c>
      <c r="M86" s="52">
        <f t="shared" si="19"/>
        <v>0.9943661971830986</v>
      </c>
      <c r="N86" s="51">
        <v>4505000</v>
      </c>
      <c r="O86" s="48">
        <f t="shared" si="20"/>
        <v>11565000</v>
      </c>
      <c r="P86" s="48">
        <f t="shared" si="21"/>
        <v>-4465000</v>
      </c>
      <c r="Q86" s="52">
        <f t="shared" si="18"/>
        <v>1.6288732394366197</v>
      </c>
    </row>
    <row r="87" spans="1:17">
      <c r="A87" s="65"/>
      <c r="B87" s="39"/>
      <c r="C87" s="45"/>
      <c r="D87" s="45"/>
      <c r="E87" s="61"/>
      <c r="F87" s="46"/>
      <c r="G87" s="47"/>
      <c r="H87" s="53"/>
      <c r="I87" s="53"/>
      <c r="J87" s="53"/>
      <c r="K87" s="53"/>
      <c r="L87" s="53">
        <f t="shared" si="17"/>
        <v>0</v>
      </c>
      <c r="M87" s="54" t="e">
        <f t="shared" si="19"/>
        <v>#DIV/0!</v>
      </c>
      <c r="N87" s="53"/>
      <c r="O87" s="48">
        <f t="shared" si="20"/>
        <v>0</v>
      </c>
      <c r="P87" s="48">
        <f t="shared" si="21"/>
        <v>0</v>
      </c>
      <c r="Q87" s="54" t="e">
        <f t="shared" si="18"/>
        <v>#DIV/0!</v>
      </c>
    </row>
    <row r="88" spans="1:17">
      <c r="A88" s="22" t="s">
        <v>184</v>
      </c>
      <c r="B88" s="27" t="s">
        <v>185</v>
      </c>
      <c r="C88" s="41"/>
      <c r="D88" s="45"/>
      <c r="E88" s="46"/>
      <c r="F88" s="57"/>
      <c r="G88" s="47"/>
      <c r="H88" s="51">
        <v>26026000</v>
      </c>
      <c r="I88" s="51">
        <f>+I89</f>
        <v>22382390</v>
      </c>
      <c r="J88" s="51">
        <f>+J89</f>
        <v>2052826</v>
      </c>
      <c r="K88" s="51">
        <f>+K89</f>
        <v>24435216</v>
      </c>
      <c r="L88" s="51">
        <f t="shared" si="17"/>
        <v>1590784</v>
      </c>
      <c r="M88" s="52">
        <f t="shared" si="19"/>
        <v>0.93887712287712288</v>
      </c>
      <c r="N88" s="51">
        <f>+N89</f>
        <v>4500000</v>
      </c>
      <c r="O88" s="48">
        <f t="shared" si="20"/>
        <v>28935216</v>
      </c>
      <c r="P88" s="48">
        <f t="shared" si="21"/>
        <v>-2909216</v>
      </c>
      <c r="Q88" s="52">
        <f t="shared" si="18"/>
        <v>1.1117811419349881</v>
      </c>
    </row>
    <row r="89" spans="1:17">
      <c r="A89" s="65"/>
      <c r="B89" s="38"/>
      <c r="C89" s="41" t="s">
        <v>186</v>
      </c>
      <c r="D89" s="45"/>
      <c r="E89" s="46"/>
      <c r="F89" s="57"/>
      <c r="G89" s="47"/>
      <c r="H89" s="53">
        <v>26026000</v>
      </c>
      <c r="I89" s="53">
        <f>+[1]Posting!N179</f>
        <v>22382390</v>
      </c>
      <c r="J89" s="53">
        <f>+[1]Posting!O179</f>
        <v>2052826</v>
      </c>
      <c r="K89" s="48">
        <f>+I89+J89</f>
        <v>24435216</v>
      </c>
      <c r="L89" s="53">
        <f t="shared" si="17"/>
        <v>1590784</v>
      </c>
      <c r="M89" s="54">
        <f t="shared" si="19"/>
        <v>0.93887712287712288</v>
      </c>
      <c r="N89" s="48">
        <f>2250000*2</f>
        <v>4500000</v>
      </c>
      <c r="O89" s="48">
        <f t="shared" si="20"/>
        <v>28935216</v>
      </c>
      <c r="P89" s="48">
        <f t="shared" si="21"/>
        <v>-2909216</v>
      </c>
      <c r="Q89" s="54">
        <f t="shared" si="18"/>
        <v>1.1117811419349881</v>
      </c>
    </row>
    <row r="90" spans="1:17">
      <c r="A90" s="65"/>
      <c r="B90" s="38"/>
      <c r="C90" s="41"/>
      <c r="D90" s="45"/>
      <c r="E90" s="46"/>
      <c r="F90" s="57"/>
      <c r="G90" s="47"/>
      <c r="H90" s="53"/>
      <c r="I90" s="53"/>
      <c r="J90" s="53"/>
      <c r="K90" s="53"/>
      <c r="L90" s="53">
        <f t="shared" si="17"/>
        <v>0</v>
      </c>
      <c r="M90" s="54" t="e">
        <f t="shared" si="19"/>
        <v>#DIV/0!</v>
      </c>
      <c r="N90" s="53"/>
      <c r="O90" s="48">
        <f t="shared" si="20"/>
        <v>0</v>
      </c>
      <c r="P90" s="48">
        <f t="shared" si="21"/>
        <v>0</v>
      </c>
      <c r="Q90" s="54" t="e">
        <f t="shared" si="18"/>
        <v>#DIV/0!</v>
      </c>
    </row>
    <row r="91" spans="1:17">
      <c r="A91" s="65"/>
      <c r="B91" s="38"/>
      <c r="C91" s="41"/>
      <c r="D91" s="45"/>
      <c r="E91" s="46"/>
      <c r="F91" s="57"/>
      <c r="G91" s="47"/>
      <c r="H91" s="53"/>
      <c r="I91" s="53"/>
      <c r="J91" s="53"/>
      <c r="K91" s="53"/>
      <c r="L91" s="53">
        <f t="shared" si="17"/>
        <v>0</v>
      </c>
      <c r="M91" s="54" t="e">
        <f t="shared" si="19"/>
        <v>#DIV/0!</v>
      </c>
      <c r="N91" s="53"/>
      <c r="O91" s="48">
        <f t="shared" si="20"/>
        <v>0</v>
      </c>
      <c r="P91" s="48">
        <f t="shared" si="21"/>
        <v>0</v>
      </c>
      <c r="Q91" s="54" t="e">
        <f t="shared" si="18"/>
        <v>#DIV/0!</v>
      </c>
    </row>
    <row r="92" spans="1:17">
      <c r="A92" s="22" t="s">
        <v>187</v>
      </c>
      <c r="B92" s="27" t="s">
        <v>188</v>
      </c>
      <c r="C92" s="41"/>
      <c r="D92" s="40"/>
      <c r="E92" s="46"/>
      <c r="F92" s="57"/>
      <c r="G92" s="47"/>
      <c r="H92" s="51">
        <v>5612000000</v>
      </c>
      <c r="I92" s="51">
        <f>+I93</f>
        <v>2931034902</v>
      </c>
      <c r="J92" s="51">
        <f>+J93</f>
        <v>328702100</v>
      </c>
      <c r="K92" s="51">
        <f>+K93</f>
        <v>3259737002</v>
      </c>
      <c r="L92" s="51">
        <f t="shared" si="17"/>
        <v>2352262998</v>
      </c>
      <c r="M92" s="52">
        <f t="shared" si="19"/>
        <v>0.58085121204561652</v>
      </c>
      <c r="N92" s="51">
        <f>+N93</f>
        <v>1952000000</v>
      </c>
      <c r="O92" s="48">
        <f t="shared" si="20"/>
        <v>5211737002</v>
      </c>
      <c r="P92" s="48">
        <f t="shared" si="21"/>
        <v>400262998</v>
      </c>
      <c r="Q92" s="52">
        <f t="shared" si="18"/>
        <v>0.92867729900213825</v>
      </c>
    </row>
    <row r="93" spans="1:17">
      <c r="A93" s="65"/>
      <c r="B93" s="39"/>
      <c r="C93" s="40" t="s">
        <v>23</v>
      </c>
      <c r="D93" s="41" t="s">
        <v>189</v>
      </c>
      <c r="E93" s="41"/>
      <c r="F93" s="60"/>
      <c r="G93" s="42"/>
      <c r="H93" s="51">
        <v>5612000000</v>
      </c>
      <c r="I93" s="51">
        <f>SUM(I94:I98)</f>
        <v>2931034902</v>
      </c>
      <c r="J93" s="51">
        <f>SUM(J94:J98)</f>
        <v>328702100</v>
      </c>
      <c r="K93" s="51">
        <f>SUM(K94:K98)</f>
        <v>3259737002</v>
      </c>
      <c r="L93" s="51">
        <f t="shared" si="17"/>
        <v>2352262998</v>
      </c>
      <c r="M93" s="52">
        <f t="shared" si="19"/>
        <v>0.58085121204561652</v>
      </c>
      <c r="N93" s="51">
        <f>SUM(N94:N98)</f>
        <v>1952000000</v>
      </c>
      <c r="O93" s="48">
        <f t="shared" si="20"/>
        <v>5211737002</v>
      </c>
      <c r="P93" s="48">
        <f t="shared" si="21"/>
        <v>400262998</v>
      </c>
      <c r="Q93" s="52">
        <f t="shared" si="18"/>
        <v>0.92867729900213825</v>
      </c>
    </row>
    <row r="94" spans="1:17">
      <c r="A94" s="22" t="s">
        <v>190</v>
      </c>
      <c r="B94" s="39"/>
      <c r="C94" s="45"/>
      <c r="D94" s="45" t="s">
        <v>25</v>
      </c>
      <c r="E94" s="46" t="s">
        <v>191</v>
      </c>
      <c r="F94" s="57"/>
      <c r="G94" s="47"/>
      <c r="H94" s="53">
        <v>0</v>
      </c>
      <c r="I94" s="53">
        <f>[1]Posting!N185</f>
        <v>0</v>
      </c>
      <c r="J94" s="53">
        <f>[1]Posting!O185</f>
        <v>0</v>
      </c>
      <c r="K94" s="48">
        <f t="shared" ref="K94:K98" si="22">+I94+J94</f>
        <v>0</v>
      </c>
      <c r="L94" s="53">
        <f t="shared" si="17"/>
        <v>0</v>
      </c>
      <c r="M94" s="54" t="e">
        <f t="shared" si="19"/>
        <v>#DIV/0!</v>
      </c>
      <c r="N94" s="48"/>
      <c r="O94" s="48">
        <f t="shared" si="20"/>
        <v>0</v>
      </c>
      <c r="P94" s="48">
        <f t="shared" si="21"/>
        <v>0</v>
      </c>
      <c r="Q94" s="54" t="e">
        <f t="shared" si="18"/>
        <v>#DIV/0!</v>
      </c>
    </row>
    <row r="95" spans="1:17">
      <c r="A95" s="22" t="s">
        <v>192</v>
      </c>
      <c r="B95" s="39"/>
      <c r="C95" s="45"/>
      <c r="D95" s="45" t="s">
        <v>193</v>
      </c>
      <c r="E95" s="46" t="s">
        <v>194</v>
      </c>
      <c r="F95" s="57"/>
      <c r="G95" s="47"/>
      <c r="H95" s="53">
        <v>2427000000</v>
      </c>
      <c r="I95" s="53">
        <f>[1]Posting!N187</f>
        <v>1279163902</v>
      </c>
      <c r="J95" s="53">
        <f>[1]Posting!O187</f>
        <v>9025000</v>
      </c>
      <c r="K95" s="48">
        <f>+I95+J95</f>
        <v>1288188902</v>
      </c>
      <c r="L95" s="53">
        <f>+H95-K95</f>
        <v>1138811098</v>
      </c>
      <c r="M95" s="54">
        <f>+K95/H95</f>
        <v>0.53077416646065101</v>
      </c>
      <c r="N95" s="48">
        <f>144225840+85000000+100000000+60100000+18000000+31018000+25000000+48000000+46000000+240000000+29656160</f>
        <v>827000000</v>
      </c>
      <c r="O95" s="48">
        <f t="shared" si="20"/>
        <v>2115188902</v>
      </c>
      <c r="P95" s="48">
        <f t="shared" si="21"/>
        <v>311811098</v>
      </c>
      <c r="Q95" s="54">
        <f t="shared" si="18"/>
        <v>0.87152406345282241</v>
      </c>
    </row>
    <row r="96" spans="1:17">
      <c r="A96" s="22" t="s">
        <v>195</v>
      </c>
      <c r="B96" s="39"/>
      <c r="C96" s="45"/>
      <c r="D96" s="45" t="s">
        <v>82</v>
      </c>
      <c r="E96" s="46" t="s">
        <v>196</v>
      </c>
      <c r="F96" s="57"/>
      <c r="G96" s="47"/>
      <c r="H96" s="53">
        <v>2000000000</v>
      </c>
      <c r="I96" s="53">
        <f>[1]Posting!N186</f>
        <v>1263493000</v>
      </c>
      <c r="J96" s="53">
        <f>[1]Posting!O186</f>
        <v>0</v>
      </c>
      <c r="K96" s="48">
        <f t="shared" si="22"/>
        <v>1263493000</v>
      </c>
      <c r="L96" s="53">
        <f t="shared" si="17"/>
        <v>736507000</v>
      </c>
      <c r="M96" s="54">
        <f t="shared" si="19"/>
        <v>0.63174649999999999</v>
      </c>
      <c r="N96" s="48">
        <f>350000000+100000000+60000000+200000000</f>
        <v>710000000</v>
      </c>
      <c r="O96" s="48">
        <f t="shared" si="20"/>
        <v>1973493000</v>
      </c>
      <c r="P96" s="48">
        <f t="shared" si="21"/>
        <v>26507000</v>
      </c>
      <c r="Q96" s="54">
        <f t="shared" si="18"/>
        <v>0.98674649999999997</v>
      </c>
    </row>
    <row r="97" spans="1:19">
      <c r="A97" s="22" t="s">
        <v>197</v>
      </c>
      <c r="B97" s="39"/>
      <c r="C97" s="45"/>
      <c r="D97" s="45" t="s">
        <v>198</v>
      </c>
      <c r="E97" s="46" t="s">
        <v>199</v>
      </c>
      <c r="F97" s="57"/>
      <c r="G97" s="47"/>
      <c r="H97" s="53">
        <v>820000000</v>
      </c>
      <c r="I97" s="53">
        <f>[1]Posting!N188</f>
        <v>282878000</v>
      </c>
      <c r="J97" s="53">
        <f>[1]Posting!O188</f>
        <v>319677100</v>
      </c>
      <c r="K97" s="48">
        <f t="shared" si="22"/>
        <v>602555100</v>
      </c>
      <c r="L97" s="53">
        <f t="shared" si="17"/>
        <v>217444900</v>
      </c>
      <c r="M97" s="54">
        <f t="shared" si="19"/>
        <v>0.73482329268292679</v>
      </c>
      <c r="N97" s="48">
        <v>215000000</v>
      </c>
      <c r="O97" s="48">
        <f t="shared" si="20"/>
        <v>817555100</v>
      </c>
      <c r="P97" s="48">
        <f t="shared" si="21"/>
        <v>2444900</v>
      </c>
      <c r="Q97" s="54">
        <f t="shared" si="18"/>
        <v>0.99701841463414631</v>
      </c>
    </row>
    <row r="98" spans="1:19">
      <c r="A98" s="22" t="s">
        <v>200</v>
      </c>
      <c r="B98" s="39"/>
      <c r="C98" s="45"/>
      <c r="D98" s="45" t="s">
        <v>201</v>
      </c>
      <c r="E98" s="46" t="s">
        <v>202</v>
      </c>
      <c r="F98" s="57"/>
      <c r="G98" s="47"/>
      <c r="H98" s="53">
        <v>365000000</v>
      </c>
      <c r="I98" s="53">
        <f>[1]Posting!N189</f>
        <v>105500000</v>
      </c>
      <c r="J98" s="53">
        <f>[1]Posting!O189</f>
        <v>0</v>
      </c>
      <c r="K98" s="48">
        <f t="shared" si="22"/>
        <v>105500000</v>
      </c>
      <c r="L98" s="53">
        <f t="shared" si="17"/>
        <v>259500000</v>
      </c>
      <c r="M98" s="54">
        <f t="shared" si="19"/>
        <v>0.28904109589041094</v>
      </c>
      <c r="N98" s="48">
        <v>200000000</v>
      </c>
      <c r="O98" s="48">
        <f t="shared" si="20"/>
        <v>305500000</v>
      </c>
      <c r="P98" s="48">
        <f t="shared" si="21"/>
        <v>59500000</v>
      </c>
      <c r="Q98" s="54">
        <f t="shared" si="18"/>
        <v>0.83698630136986296</v>
      </c>
    </row>
    <row r="99" spans="1:19">
      <c r="A99" s="65"/>
      <c r="B99" s="39"/>
      <c r="C99" s="45"/>
      <c r="D99" s="45"/>
      <c r="E99" s="46"/>
      <c r="F99" s="57"/>
      <c r="G99" s="47"/>
      <c r="H99" s="53"/>
      <c r="I99" s="53"/>
      <c r="J99" s="53"/>
      <c r="K99" s="53"/>
      <c r="L99" s="53">
        <f t="shared" si="17"/>
        <v>0</v>
      </c>
      <c r="M99" s="54" t="e">
        <f t="shared" si="19"/>
        <v>#DIV/0!</v>
      </c>
      <c r="N99" s="53"/>
      <c r="O99" s="48">
        <f t="shared" si="20"/>
        <v>0</v>
      </c>
      <c r="P99" s="48">
        <f t="shared" si="21"/>
        <v>0</v>
      </c>
      <c r="Q99" s="54" t="e">
        <f t="shared" si="18"/>
        <v>#DIV/0!</v>
      </c>
    </row>
    <row r="100" spans="1:19" ht="14.25">
      <c r="A100" s="66" t="s">
        <v>203</v>
      </c>
      <c r="B100" s="67"/>
      <c r="C100" s="67"/>
      <c r="D100" s="67"/>
      <c r="E100" s="67"/>
      <c r="F100" s="67"/>
      <c r="G100" s="68"/>
      <c r="H100" s="51">
        <v>33019460000</v>
      </c>
      <c r="I100" s="51">
        <f>+I92+I88+I15</f>
        <v>21894783996</v>
      </c>
      <c r="J100" s="51">
        <f>+J92+J88+J15</f>
        <v>4364849009</v>
      </c>
      <c r="K100" s="51">
        <f>+K92+K88+K15</f>
        <v>26259633005</v>
      </c>
      <c r="L100" s="51">
        <f t="shared" si="17"/>
        <v>6759826995</v>
      </c>
      <c r="M100" s="52">
        <f t="shared" si="19"/>
        <v>0.7952774819757803</v>
      </c>
      <c r="N100" s="51">
        <f>+N92+N88+N15</f>
        <v>6298465000</v>
      </c>
      <c r="O100" s="51">
        <f t="shared" ref="O100:P100" si="23">+O92+O88+O15</f>
        <v>32558098005</v>
      </c>
      <c r="P100" s="51">
        <f t="shared" si="23"/>
        <v>461361995</v>
      </c>
      <c r="Q100" s="52">
        <f t="shared" si="18"/>
        <v>0.98602757298271992</v>
      </c>
    </row>
    <row r="101" spans="1:19">
      <c r="A101" s="69" t="s">
        <v>204</v>
      </c>
      <c r="B101" s="39"/>
      <c r="C101" s="45"/>
      <c r="D101" s="45"/>
      <c r="E101" s="46" t="s">
        <v>205</v>
      </c>
      <c r="F101" s="57"/>
      <c r="G101" s="47"/>
      <c r="H101" s="53">
        <v>9459340000</v>
      </c>
      <c r="I101" s="53">
        <f>+I19+I40</f>
        <v>6495888333</v>
      </c>
      <c r="J101" s="53">
        <f>+J19+J40</f>
        <v>822535000</v>
      </c>
      <c r="K101" s="53">
        <f>+K19+K40</f>
        <v>7318423333</v>
      </c>
      <c r="L101" s="53">
        <f>+L19+L40</f>
        <v>2140916667</v>
      </c>
      <c r="M101" s="54">
        <f t="shared" si="19"/>
        <v>0.77367166557074807</v>
      </c>
      <c r="N101" s="53">
        <f>+N19+N40</f>
        <v>1444640000</v>
      </c>
      <c r="O101" s="53">
        <f t="shared" ref="O101:P101" si="24">+O19+O40</f>
        <v>8763063333</v>
      </c>
      <c r="P101" s="53">
        <f t="shared" si="24"/>
        <v>696276667</v>
      </c>
      <c r="Q101" s="54">
        <f t="shared" si="18"/>
        <v>0.92639267993327234</v>
      </c>
      <c r="R101" s="9">
        <f>+'[1]Estimasi s.d. des'!F10</f>
        <v>1486091667</v>
      </c>
      <c r="S101" s="9">
        <f>+R101-P101</f>
        <v>789815000</v>
      </c>
    </row>
    <row r="102" spans="1:19">
      <c r="A102" s="22"/>
      <c r="B102" s="39"/>
      <c r="C102" s="45"/>
      <c r="D102" s="45"/>
      <c r="E102" s="46" t="s">
        <v>206</v>
      </c>
      <c r="F102" s="57"/>
      <c r="G102" s="47"/>
      <c r="H102" s="53">
        <v>17948120000</v>
      </c>
      <c r="I102" s="53">
        <f>+I20+I27+I28+I31+I35+I44+I55+I62+I83+I86+I88</f>
        <v>12467860761</v>
      </c>
      <c r="J102" s="53">
        <f>+J20+J27+J28+J31+J35+J44+J55+J62+J83+J86+J88</f>
        <v>3213611909</v>
      </c>
      <c r="K102" s="53">
        <f>+K20+K27+K28+K31+K35+K44+K55+K62+K83+K86+K88</f>
        <v>15681472670</v>
      </c>
      <c r="L102" s="53">
        <f>+L20+L27+L28+L31+L35+L44+L55+L62+L83+L86+L88</f>
        <v>2266647330</v>
      </c>
      <c r="M102" s="54">
        <f t="shared" si="19"/>
        <v>0.87371115582021963</v>
      </c>
      <c r="N102" s="53">
        <f>+N20+N27+N28+N31+N35+N44+N55+N62+N83+N86+N88</f>
        <v>2901825000</v>
      </c>
      <c r="O102" s="53">
        <f t="shared" ref="O102" si="25">+O20+O27+O28+O31+O35+O44+O55+O62+O83+O86+O88</f>
        <v>18583297670</v>
      </c>
      <c r="P102" s="53">
        <f>+P20+P27+P28+P31+P35+P44+P55+P62+P83+P86+P88</f>
        <v>-635177670</v>
      </c>
      <c r="Q102" s="54">
        <f t="shared" si="18"/>
        <v>1.0353896491665979</v>
      </c>
      <c r="R102" s="9">
        <f>+'[1]Estimasi s.d. des'!F11</f>
        <v>10094133</v>
      </c>
      <c r="S102" s="9">
        <f t="shared" ref="S102:S103" si="26">+R102-P102</f>
        <v>645271803</v>
      </c>
    </row>
    <row r="103" spans="1:19">
      <c r="A103" s="22"/>
      <c r="B103" s="39"/>
      <c r="C103" s="45"/>
      <c r="D103" s="45"/>
      <c r="E103" s="46" t="s">
        <v>207</v>
      </c>
      <c r="F103" s="57"/>
      <c r="G103" s="47"/>
      <c r="H103" s="53">
        <v>5612000000</v>
      </c>
      <c r="I103" s="53">
        <f>+I92</f>
        <v>2931034902</v>
      </c>
      <c r="J103" s="53">
        <f>+J92</f>
        <v>328702100</v>
      </c>
      <c r="K103" s="53">
        <f>+K92</f>
        <v>3259737002</v>
      </c>
      <c r="L103" s="53">
        <f>+L92</f>
        <v>2352262998</v>
      </c>
      <c r="M103" s="54">
        <f t="shared" si="19"/>
        <v>0.58085121204561652</v>
      </c>
      <c r="N103" s="53">
        <f>+N92</f>
        <v>1952000000</v>
      </c>
      <c r="O103" s="53">
        <f t="shared" ref="O103:P103" si="27">+O92</f>
        <v>5211737002</v>
      </c>
      <c r="P103" s="53">
        <f t="shared" si="27"/>
        <v>400262998</v>
      </c>
      <c r="Q103" s="54">
        <f t="shared" si="18"/>
        <v>0.92867729900213825</v>
      </c>
      <c r="R103" s="9">
        <f>+'[1]Estimasi s.d. des'!F12</f>
        <v>400262998</v>
      </c>
      <c r="S103" s="9">
        <f t="shared" si="26"/>
        <v>0</v>
      </c>
    </row>
    <row r="104" spans="1:19" ht="14.25">
      <c r="A104" s="66" t="s">
        <v>203</v>
      </c>
      <c r="B104" s="67"/>
      <c r="C104" s="67"/>
      <c r="D104" s="67"/>
      <c r="E104" s="67"/>
      <c r="F104" s="67"/>
      <c r="G104" s="68"/>
      <c r="H104" s="51">
        <v>33019460000</v>
      </c>
      <c r="I104" s="51">
        <f>SUM(I101:I103)</f>
        <v>21894783996</v>
      </c>
      <c r="J104" s="51">
        <f>SUM(J101:J103)</f>
        <v>4364849009</v>
      </c>
      <c r="K104" s="51">
        <f>SUM(K101:K103)</f>
        <v>26259633005</v>
      </c>
      <c r="L104" s="51">
        <f>SUM(L101:L103)</f>
        <v>6759826995</v>
      </c>
      <c r="M104" s="52">
        <f>+K104/H104</f>
        <v>0.7952774819757803</v>
      </c>
      <c r="N104" s="51">
        <f>SUM(N101:N103)</f>
        <v>6298465000</v>
      </c>
      <c r="O104" s="51">
        <f t="shared" ref="O104:P104" si="28">SUM(O101:O103)</f>
        <v>32558098005</v>
      </c>
      <c r="P104" s="51">
        <f t="shared" si="28"/>
        <v>461361995</v>
      </c>
      <c r="Q104" s="52">
        <f t="shared" si="18"/>
        <v>0.98602757298271992</v>
      </c>
    </row>
    <row r="105" spans="1:19" ht="14.25">
      <c r="A105" s="70"/>
      <c r="B105" s="70"/>
      <c r="C105" s="70"/>
      <c r="D105" s="70"/>
      <c r="E105" s="70"/>
      <c r="F105" s="70"/>
      <c r="G105" s="70"/>
      <c r="H105" s="71"/>
      <c r="I105" s="71"/>
      <c r="J105" s="71"/>
      <c r="K105" s="71"/>
      <c r="L105" s="71"/>
      <c r="M105" s="72"/>
      <c r="N105" s="3"/>
      <c r="Q105" s="2"/>
    </row>
    <row r="106" spans="1:19" s="73" customFormat="1" ht="14.25">
      <c r="A106" s="5"/>
      <c r="L106" s="74" t="s">
        <v>208</v>
      </c>
      <c r="M106" s="75"/>
      <c r="N106" s="75"/>
    </row>
    <row r="107" spans="1:19" s="73" customFormat="1" ht="14.25">
      <c r="A107" s="5"/>
      <c r="J107" s="76"/>
      <c r="M107" s="75"/>
      <c r="N107" s="75"/>
    </row>
    <row r="108" spans="1:19" s="73" customFormat="1" ht="14.25">
      <c r="A108" s="5"/>
      <c r="E108" s="74" t="s">
        <v>209</v>
      </c>
      <c r="L108" s="74" t="s">
        <v>210</v>
      </c>
      <c r="M108" s="75"/>
      <c r="N108" s="75"/>
    </row>
    <row r="109" spans="1:19" s="73" customFormat="1" ht="14.25">
      <c r="A109" s="5"/>
      <c r="E109" s="74" t="s">
        <v>211</v>
      </c>
      <c r="L109" s="74" t="s">
        <v>211</v>
      </c>
      <c r="M109" s="75"/>
      <c r="N109" s="75"/>
    </row>
    <row r="110" spans="1:19" s="73" customFormat="1" ht="14.25">
      <c r="A110" s="5"/>
      <c r="E110" s="74"/>
      <c r="L110" s="74"/>
      <c r="M110" s="75"/>
      <c r="N110" s="75"/>
    </row>
    <row r="111" spans="1:19" s="73" customFormat="1" ht="14.25">
      <c r="A111" s="5"/>
      <c r="E111" s="74"/>
      <c r="L111" s="74"/>
      <c r="M111" s="75"/>
      <c r="N111" s="75"/>
    </row>
    <row r="112" spans="1:19" s="73" customFormat="1" ht="14.25">
      <c r="A112" s="5"/>
      <c r="E112" s="77" t="s">
        <v>212</v>
      </c>
      <c r="L112" s="78" t="s">
        <v>213</v>
      </c>
      <c r="M112" s="75"/>
      <c r="N112" s="75"/>
    </row>
    <row r="113" spans="1:14" s="73" customFormat="1" ht="14.25">
      <c r="A113" s="5"/>
      <c r="E113" s="74" t="s">
        <v>214</v>
      </c>
      <c r="L113" s="74" t="s">
        <v>215</v>
      </c>
      <c r="M113" s="75"/>
      <c r="N113" s="75"/>
    </row>
    <row r="114" spans="1:14" s="73" customFormat="1" ht="14.25">
      <c r="A114" s="5"/>
      <c r="E114" s="74" t="s">
        <v>216</v>
      </c>
      <c r="L114" s="74" t="s">
        <v>217</v>
      </c>
      <c r="M114" s="75"/>
      <c r="N114" s="75"/>
    </row>
    <row r="115" spans="1:14">
      <c r="I115" s="2" t="s">
        <v>218</v>
      </c>
      <c r="J115" s="9">
        <v>4200000</v>
      </c>
      <c r="K115" s="9"/>
    </row>
    <row r="116" spans="1:14">
      <c r="I116" s="2" t="s">
        <v>219</v>
      </c>
      <c r="J116" s="79">
        <v>95000000</v>
      </c>
    </row>
    <row r="117" spans="1:14">
      <c r="I117" s="2" t="s">
        <v>220</v>
      </c>
      <c r="J117" s="79">
        <v>5000000</v>
      </c>
      <c r="K117" s="80"/>
    </row>
    <row r="118" spans="1:14">
      <c r="I118" s="2" t="s">
        <v>221</v>
      </c>
      <c r="J118" s="79">
        <v>30000000</v>
      </c>
    </row>
    <row r="119" spans="1:14">
      <c r="I119" s="2" t="s">
        <v>222</v>
      </c>
      <c r="J119" s="79">
        <v>80272360</v>
      </c>
    </row>
    <row r="121" spans="1:14">
      <c r="J121" s="79"/>
    </row>
    <row r="122" spans="1:14">
      <c r="J122" s="79"/>
    </row>
    <row r="124" spans="1:14">
      <c r="J124" s="79"/>
    </row>
    <row r="125" spans="1:14">
      <c r="J125" s="79"/>
    </row>
    <row r="126" spans="1:14">
      <c r="J126" s="79"/>
    </row>
    <row r="128" spans="1:14">
      <c r="J128" s="9">
        <f>SUM(J110:J126)</f>
        <v>214472360</v>
      </c>
      <c r="K128" s="9">
        <f>+J128+J110</f>
        <v>214472360</v>
      </c>
    </row>
    <row r="129" spans="10:11">
      <c r="J129" s="81">
        <f>+J107-J111</f>
        <v>0</v>
      </c>
      <c r="K129" s="9">
        <f>+K128+J108+J109</f>
        <v>214472360</v>
      </c>
    </row>
    <row r="130" spans="10:11">
      <c r="K130" s="3">
        <f>+K129/26000000000</f>
        <v>8.2489369230769223E-3</v>
      </c>
    </row>
    <row r="134" spans="10:11">
      <c r="K134" s="9">
        <f>+K128+J101</f>
        <v>1037007360</v>
      </c>
    </row>
    <row r="135" spans="10:11">
      <c r="K135" s="9">
        <f>+K134+I100</f>
        <v>22931791356</v>
      </c>
    </row>
    <row r="136" spans="10:11">
      <c r="K136" s="3">
        <f>+K135/26000000000</f>
        <v>0.88199197523076922</v>
      </c>
    </row>
  </sheetData>
  <mergeCells count="20">
    <mergeCell ref="B12:G12"/>
    <mergeCell ref="B14:G14"/>
    <mergeCell ref="A100:G100"/>
    <mergeCell ref="A104:G104"/>
    <mergeCell ref="L8:L11"/>
    <mergeCell ref="M8:M11"/>
    <mergeCell ref="N8:N11"/>
    <mergeCell ref="O8:O11"/>
    <mergeCell ref="P8:P11"/>
    <mergeCell ref="Q8:Q11"/>
    <mergeCell ref="A2:M2"/>
    <mergeCell ref="A3:M3"/>
    <mergeCell ref="A4:M4"/>
    <mergeCell ref="A5:M5"/>
    <mergeCell ref="A8:A11"/>
    <mergeCell ref="B8:G11"/>
    <mergeCell ref="H8:H11"/>
    <mergeCell ref="I8:I11"/>
    <mergeCell ref="J8:J11"/>
    <mergeCell ref="K8:K11"/>
  </mergeCells>
  <conditionalFormatting sqref="L105:L114">
    <cfRule type="cellIs" dxfId="1" priority="2" operator="lessThan">
      <formula>0</formula>
    </cfRule>
  </conditionalFormatting>
  <conditionalFormatting sqref="L106">
    <cfRule type="cellIs" dxfId="0" priority="1" operator="lessThan">
      <formula>0</formula>
    </cfRule>
  </conditionalFormatting>
  <pageMargins left="0.51181102362204722" right="0.11811023622047245" top="0.19685039370078741" bottom="0.23622047244094491" header="0.23622047244094491" footer="0.35433070866141736"/>
  <pageSetup paperSize="10000" scale="52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Nov</vt:lpstr>
      <vt:lpstr>Nov!Print_Area</vt:lpstr>
      <vt:lpstr>Nov!Print_Titles</vt:lpstr>
    </vt:vector>
  </TitlesOfParts>
  <Company>Deftones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RSUD_KELET</dc:creator>
  <cp:lastModifiedBy>RSUD_KELET</cp:lastModifiedBy>
  <dcterms:created xsi:type="dcterms:W3CDTF">2018-10-22T07:53:17Z</dcterms:created>
  <dcterms:modified xsi:type="dcterms:W3CDTF">2018-10-22T07:53:33Z</dcterms:modified>
</cp:coreProperties>
</file>