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ATAP 2024\Komoditas\TAHUNAN\"/>
    </mc:Choice>
  </mc:AlternateContent>
  <xr:revisionPtr revIDLastSave="0" documentId="8_{25A32357-5BC0-461B-9878-D7834F0CB5EB}" xr6:coauthVersionLast="45" xr6:coauthVersionMax="45" xr10:uidLastSave="{00000000-0000-0000-0000-000000000000}"/>
  <bookViews>
    <workbookView xWindow="-120" yWindow="-120" windowWidth="20730" windowHeight="11310" xr2:uid="{9E42D881-2D7D-4C7A-9785-4890E60ADED9}"/>
  </bookViews>
  <sheets>
    <sheet name="K Deres" sheetId="1" r:id="rId1"/>
  </sheets>
  <externalReferences>
    <externalReference r:id="rId2"/>
  </externalReferences>
  <definedNames>
    <definedName name="_xlnm._FilterDatabase" localSheetId="0" hidden="1">'K Deres'!$L$10:$M$59</definedName>
    <definedName name="komoditi">#REF!</definedName>
    <definedName name="Z_3F279D1F_CFB3_4226_902F_136088D6AABE_.wvu.Cols" localSheetId="0">'K Deres'!$X:$X</definedName>
    <definedName name="Z_BB0C7139_A5D5_4A54_9E2C_18390F57221E_.wvu.FilterData" localSheetId="0" hidden="1">'K Deres'!$L$10:$M$42</definedName>
    <definedName name="Z_C549CA57_D6A8_473A_95EE_534EA55B482B_.wvu.FilterData" localSheetId="0" hidden="1">'K Deres'!$L$10:$M$58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8" i="1" l="1"/>
  <c r="J58" i="1" s="1"/>
  <c r="F57" i="1"/>
  <c r="J57" i="1" s="1"/>
  <c r="F56" i="1"/>
  <c r="J56" i="1" s="1"/>
  <c r="F55" i="1"/>
  <c r="J55" i="1" s="1"/>
  <c r="F54" i="1"/>
  <c r="J54" i="1" s="1"/>
  <c r="F53" i="1"/>
  <c r="J53" i="1" s="1"/>
  <c r="F52" i="1"/>
  <c r="J52" i="1" s="1"/>
  <c r="F51" i="1"/>
  <c r="J51" i="1" s="1"/>
  <c r="F50" i="1"/>
  <c r="J50" i="1" s="1"/>
  <c r="I43" i="1"/>
  <c r="G43" i="1"/>
  <c r="H43" i="1" s="1"/>
  <c r="E43" i="1"/>
  <c r="D43" i="1"/>
  <c r="C43" i="1"/>
  <c r="F43" i="1" s="1"/>
  <c r="X42" i="1"/>
  <c r="J42" i="1"/>
  <c r="H42" i="1"/>
  <c r="F42" i="1"/>
  <c r="X41" i="1"/>
  <c r="J41" i="1"/>
  <c r="H41" i="1"/>
  <c r="F41" i="1"/>
  <c r="X40" i="1"/>
  <c r="J40" i="1"/>
  <c r="H40" i="1"/>
  <c r="F40" i="1"/>
  <c r="X39" i="1"/>
  <c r="H39" i="1"/>
  <c r="F39" i="1"/>
  <c r="J39" i="1" s="1"/>
  <c r="X38" i="1"/>
  <c r="J38" i="1"/>
  <c r="H38" i="1"/>
  <c r="F38" i="1"/>
  <c r="X37" i="1"/>
  <c r="H37" i="1"/>
  <c r="F37" i="1"/>
  <c r="J37" i="1" s="1"/>
  <c r="X36" i="1"/>
  <c r="J36" i="1"/>
  <c r="H36" i="1"/>
  <c r="F36" i="1"/>
  <c r="X35" i="1"/>
  <c r="J35" i="1"/>
  <c r="H35" i="1"/>
  <c r="F35" i="1"/>
  <c r="X34" i="1"/>
  <c r="J34" i="1"/>
  <c r="H34" i="1"/>
  <c r="F34" i="1"/>
  <c r="X33" i="1"/>
  <c r="J33" i="1"/>
  <c r="H33" i="1"/>
  <c r="F33" i="1"/>
  <c r="X32" i="1"/>
  <c r="H32" i="1"/>
  <c r="F32" i="1"/>
  <c r="J32" i="1" s="1"/>
  <c r="X31" i="1"/>
  <c r="J31" i="1"/>
  <c r="H31" i="1"/>
  <c r="F31" i="1"/>
  <c r="X30" i="1"/>
  <c r="J30" i="1"/>
  <c r="H30" i="1"/>
  <c r="F30" i="1"/>
  <c r="X29" i="1"/>
  <c r="J29" i="1"/>
  <c r="H29" i="1"/>
  <c r="F29" i="1"/>
  <c r="X28" i="1"/>
  <c r="J28" i="1"/>
  <c r="H28" i="1"/>
  <c r="F28" i="1"/>
  <c r="X27" i="1"/>
  <c r="J27" i="1"/>
  <c r="H27" i="1"/>
  <c r="F27" i="1"/>
  <c r="X26" i="1"/>
  <c r="J26" i="1"/>
  <c r="H26" i="1"/>
  <c r="F26" i="1"/>
  <c r="X25" i="1"/>
  <c r="J25" i="1"/>
  <c r="H25" i="1"/>
  <c r="F25" i="1"/>
  <c r="X24" i="1"/>
  <c r="O24" i="1"/>
  <c r="N24" i="1"/>
  <c r="M24" i="1"/>
  <c r="L24" i="1"/>
  <c r="J24" i="1"/>
  <c r="H24" i="1"/>
  <c r="F24" i="1"/>
  <c r="X23" i="1"/>
  <c r="O23" i="1"/>
  <c r="N23" i="1"/>
  <c r="M23" i="1"/>
  <c r="L23" i="1"/>
  <c r="J23" i="1"/>
  <c r="H23" i="1"/>
  <c r="F23" i="1"/>
  <c r="X22" i="1"/>
  <c r="O22" i="1"/>
  <c r="N22" i="1"/>
  <c r="M22" i="1"/>
  <c r="L22" i="1"/>
  <c r="H22" i="1"/>
  <c r="F22" i="1"/>
  <c r="J22" i="1" s="1"/>
  <c r="X21" i="1"/>
  <c r="O21" i="1"/>
  <c r="N21" i="1"/>
  <c r="M21" i="1"/>
  <c r="L21" i="1"/>
  <c r="J21" i="1"/>
  <c r="H21" i="1"/>
  <c r="F21" i="1"/>
  <c r="X20" i="1"/>
  <c r="O20" i="1"/>
  <c r="N20" i="1"/>
  <c r="M20" i="1"/>
  <c r="L20" i="1"/>
  <c r="H20" i="1"/>
  <c r="F20" i="1"/>
  <c r="J20" i="1" s="1"/>
  <c r="X19" i="1"/>
  <c r="O19" i="1"/>
  <c r="N19" i="1"/>
  <c r="M19" i="1"/>
  <c r="L19" i="1"/>
  <c r="H19" i="1"/>
  <c r="F19" i="1"/>
  <c r="J19" i="1" s="1"/>
  <c r="X18" i="1"/>
  <c r="O18" i="1"/>
  <c r="N18" i="1"/>
  <c r="M18" i="1"/>
  <c r="L18" i="1"/>
  <c r="H18" i="1"/>
  <c r="F18" i="1"/>
  <c r="J18" i="1" s="1"/>
  <c r="X17" i="1"/>
  <c r="O17" i="1"/>
  <c r="N17" i="1"/>
  <c r="M17" i="1"/>
  <c r="L17" i="1"/>
  <c r="H17" i="1"/>
  <c r="F17" i="1"/>
  <c r="J17" i="1" s="1"/>
  <c r="X16" i="1"/>
  <c r="O16" i="1"/>
  <c r="N16" i="1"/>
  <c r="M16" i="1"/>
  <c r="L16" i="1"/>
  <c r="H16" i="1"/>
  <c r="F16" i="1"/>
  <c r="J16" i="1" s="1"/>
  <c r="X15" i="1"/>
  <c r="O15" i="1"/>
  <c r="N15" i="1"/>
  <c r="M15" i="1"/>
  <c r="L15" i="1"/>
  <c r="H15" i="1"/>
  <c r="F15" i="1"/>
  <c r="J15" i="1" s="1"/>
  <c r="X14" i="1"/>
  <c r="O14" i="1"/>
  <c r="N14" i="1"/>
  <c r="M14" i="1"/>
  <c r="L14" i="1"/>
  <c r="H14" i="1"/>
  <c r="F14" i="1"/>
  <c r="J14" i="1" s="1"/>
  <c r="X13" i="1"/>
  <c r="O13" i="1"/>
  <c r="N13" i="1"/>
  <c r="M13" i="1"/>
  <c r="L13" i="1"/>
  <c r="H13" i="1"/>
  <c r="F13" i="1"/>
  <c r="J13" i="1" s="1"/>
  <c r="X12" i="1"/>
  <c r="O12" i="1"/>
  <c r="N12" i="1"/>
  <c r="M12" i="1"/>
  <c r="L12" i="1"/>
  <c r="H12" i="1"/>
  <c r="F12" i="1"/>
  <c r="J12" i="1" s="1"/>
  <c r="X11" i="1"/>
  <c r="O11" i="1"/>
  <c r="N11" i="1"/>
  <c r="M11" i="1"/>
  <c r="L11" i="1"/>
  <c r="H11" i="1"/>
  <c r="F11" i="1"/>
  <c r="J11" i="1" s="1"/>
  <c r="A3" i="1"/>
  <c r="C76" i="1" a="1"/>
  <c r="B76" i="1" a="1"/>
  <c r="C75" i="1" a="1"/>
  <c r="B75" i="1" a="1"/>
  <c r="C74" i="1" a="1"/>
  <c r="B74" i="1" a="1"/>
  <c r="C73" i="1" a="1"/>
  <c r="B73" i="1" a="1"/>
  <c r="C72" i="1" a="1"/>
  <c r="B72" i="1" a="1"/>
  <c r="C71" i="1" a="1"/>
  <c r="B71" i="1" a="1"/>
  <c r="C70" i="1" a="1"/>
  <c r="B70" i="1" a="1"/>
  <c r="C69" i="1" a="1"/>
  <c r="B69" i="1" a="1"/>
  <c r="C68" i="1" a="1"/>
  <c r="B68" i="1" a="1"/>
  <c r="C67" i="1" a="1"/>
  <c r="B67" i="1" a="1"/>
  <c r="C66" i="1" a="1"/>
  <c r="B66" i="1" a="1"/>
  <c r="C65" i="1" a="1"/>
  <c r="B65" i="1" a="1"/>
  <c r="C64" i="1" a="1"/>
  <c r="B64" i="1" a="1"/>
  <c r="B64" i="1" l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J43" i="1"/>
  <c r="K11" i="1"/>
</calcChain>
</file>

<file path=xl/sharedStrings.xml><?xml version="1.0" encoding="utf-8"?>
<sst xmlns="http://schemas.openxmlformats.org/spreadsheetml/2006/main" count="76" uniqueCount="75">
  <si>
    <t>TABEL 34</t>
  </si>
  <si>
    <t>K Deres</t>
  </si>
  <si>
    <t>REKAPITULASI LUAS AREAL, PRODUKSI DAN PRODUKTIVITAS PERKEBUNAN RAKYAT</t>
  </si>
  <si>
    <r>
      <rPr>
        <sz val="11"/>
        <color rgb="FF000000"/>
        <rFont val="Tahoma"/>
      </rPr>
      <t xml:space="preserve">KOMODITAS : </t>
    </r>
    <r>
      <rPr>
        <b/>
        <sz val="11"/>
        <color rgb="FF000000"/>
        <rFont val="Tahoma"/>
      </rPr>
      <t>KELAPA DERES</t>
    </r>
  </si>
  <si>
    <t>No</t>
  </si>
  <si>
    <t>Kabupaten/Kota</t>
  </si>
  <si>
    <t>Areal (Ha)</t>
  </si>
  <si>
    <t xml:space="preserve">Produksi </t>
  </si>
  <si>
    <t>Jumlah Petani Pekebun (KK)</t>
  </si>
  <si>
    <t>Rata0rata Kepemilikan Lahan (Ha/KK)</t>
  </si>
  <si>
    <t>TBM</t>
  </si>
  <si>
    <t>TM</t>
  </si>
  <si>
    <t>TT/TR</t>
  </si>
  <si>
    <t>Jumlah</t>
  </si>
  <si>
    <t>Jumlah (Ton)</t>
  </si>
  <si>
    <t>Rata-rata (Kg/Ha)</t>
  </si>
  <si>
    <t>BERDASARKAN TOTAL AREAL</t>
  </si>
  <si>
    <t>BERDASARKAN JUMLAH PRODUKSI</t>
  </si>
  <si>
    <t>KAB/KOTA</t>
  </si>
  <si>
    <t>TOTAL AREAL</t>
  </si>
  <si>
    <t>PRODUKSI</t>
  </si>
  <si>
    <t>KELAPA DERES</t>
  </si>
  <si>
    <t>Kab. Cilacap</t>
  </si>
  <si>
    <t>Kab. Banyumas</t>
  </si>
  <si>
    <t>Kab. Purbalingga</t>
  </si>
  <si>
    <t>Kab. Banjarnegara</t>
  </si>
  <si>
    <t>Kab. Kebumen</t>
  </si>
  <si>
    <t>Kab. Purworejo</t>
  </si>
  <si>
    <t>Kab. Wonosobo</t>
  </si>
  <si>
    <t>Kab. Magelang</t>
  </si>
  <si>
    <t>Kab. Boyolali</t>
  </si>
  <si>
    <t>Kab. Klaten</t>
  </si>
  <si>
    <t>Kab. Sukoharjo</t>
  </si>
  <si>
    <t>Kab. Wonogiri</t>
  </si>
  <si>
    <t>Kab. Karanganyar</t>
  </si>
  <si>
    <t>Kab. Sragen</t>
  </si>
  <si>
    <t>Kab. Grobogan</t>
  </si>
  <si>
    <t>Kab. Blora</t>
  </si>
  <si>
    <t>Kab. Rembang</t>
  </si>
  <si>
    <t>Kab. Pati</t>
  </si>
  <si>
    <t>Kab. Kudus</t>
  </si>
  <si>
    <t>Kab. Jepara</t>
  </si>
  <si>
    <t>Kab. Demak</t>
  </si>
  <si>
    <t>Kab. Semarang</t>
  </si>
  <si>
    <t>Kab. Temanggung</t>
  </si>
  <si>
    <t>Kab. Kendal</t>
  </si>
  <si>
    <t>Kab. Batang</t>
  </si>
  <si>
    <t>Kab. Pekalongan</t>
  </si>
  <si>
    <t>Kab. Pemalang</t>
  </si>
  <si>
    <t>Kab. Tegal</t>
  </si>
  <si>
    <t>Kab. Brebes</t>
  </si>
  <si>
    <t>Kota Surakarta</t>
  </si>
  <si>
    <t>Kota Salatiga</t>
  </si>
  <si>
    <t>Kota Semarang</t>
  </si>
  <si>
    <t>JAWA TENGAH 2024</t>
  </si>
  <si>
    <t>JAWA TENGAH 2023</t>
  </si>
  <si>
    <t>JAWA TENGAH 2022</t>
  </si>
  <si>
    <t>JAWA TENGAH 2021</t>
  </si>
  <si>
    <t>JAWA TENGAH 2020</t>
  </si>
  <si>
    <t>JAWA TENGAH 2019</t>
  </si>
  <si>
    <t>JAWA TENGAH 2018</t>
  </si>
  <si>
    <t>JAWA TENGAH 2017</t>
  </si>
  <si>
    <t>JAWA TENGAH 2016</t>
  </si>
  <si>
    <t>JAWA TENGAH 2015</t>
  </si>
  <si>
    <t>JAWA TENGAH 2014</t>
  </si>
  <si>
    <t>JAWA TENGAH 2013</t>
  </si>
  <si>
    <t>JAWA TENGAH 2012</t>
  </si>
  <si>
    <t>JAWA TENGAH 2011</t>
  </si>
  <si>
    <t>JAWA TENGAH 2009</t>
  </si>
  <si>
    <t>JAWA TENGAH 2008</t>
  </si>
  <si>
    <t>Wujud Produksi  : Gula Merah/ Gula kelapa</t>
  </si>
  <si>
    <t>https://datawrapper.dwcdn.net/4KiGe/1/</t>
  </si>
  <si>
    <t>https://datawrapper.dwcdn.net/ksU1F/1/</t>
  </si>
  <si>
    <t>Tahun</t>
  </si>
  <si>
    <t>Produksi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</si>
</sst>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_);_(@_)"/>
    <numFmt numFmtId="165" formatCode="_(* #,##0.00_);_(* \(#,##0.00\);_(* \-??_);_(@_)"/>
    <numFmt numFmtId="166" formatCode="_(* #,##0_);_(* \(#,##0\);_(* \-??_);_(@_)"/>
  </numFmts>
  <fonts count="12">
    <font>
      <sz val="10"/>
      <color rgb="FF000000"/>
      <name val="Calibri"/>
      <scheme val="minor"/>
    </font>
    <font>
      <sz val="11"/>
      <color rgb="FF000000"/>
      <name val="Tahoma"/>
    </font>
    <font>
      <sz val="10"/>
      <name val="Calibri"/>
    </font>
    <font>
      <sz val="11"/>
      <color rgb="FF000000"/>
      <name val="Inconsolata"/>
    </font>
    <font>
      <b/>
      <sz val="11"/>
      <color rgb="FF000000"/>
      <name val="Tahoma"/>
    </font>
    <font>
      <sz val="12"/>
      <color theme="1"/>
      <name val="Arial"/>
    </font>
    <font>
      <sz val="11"/>
      <color theme="1"/>
      <name val="Tahoma"/>
    </font>
    <font>
      <sz val="10"/>
      <color theme="1"/>
      <name val="Calibri"/>
    </font>
    <font>
      <sz val="11"/>
      <color theme="1"/>
      <name val="Arial"/>
    </font>
    <font>
      <i/>
      <sz val="11"/>
      <color rgb="FF000000"/>
      <name val="Tahoma"/>
    </font>
    <font>
      <u/>
      <sz val="10"/>
      <color rgb="FF0000FF"/>
      <name val="Calibri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3" borderId="0" xfId="0" applyFont="1" applyFill="1"/>
    <xf numFmtId="0" fontId="1" fillId="2" borderId="1" xfId="0" applyFont="1" applyFill="1" applyBorder="1" applyAlignment="1">
      <alignment horizontal="center"/>
    </xf>
    <xf numFmtId="0" fontId="2" fillId="0" borderId="1" xfId="0" applyFont="1" applyBorder="1"/>
    <xf numFmtId="0" fontId="1" fillId="0" borderId="2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/>
    <xf numFmtId="0" fontId="2" fillId="0" borderId="5" xfId="0" applyFont="1" applyBorder="1"/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164" fontId="1" fillId="0" borderId="2" xfId="0" applyNumberFormat="1" applyFont="1" applyBorder="1" applyAlignment="1">
      <alignment horizontal="center" vertical="center" shrinkToFit="1"/>
    </xf>
    <xf numFmtId="0" fontId="5" fillId="2" borderId="0" xfId="0" applyFont="1" applyFill="1" applyAlignment="1">
      <alignment horizontal="center" vertical="center" wrapText="1"/>
    </xf>
    <xf numFmtId="0" fontId="2" fillId="0" borderId="9" xfId="0" applyFont="1" applyBorder="1"/>
    <xf numFmtId="0" fontId="1" fillId="0" borderId="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3" borderId="0" xfId="0" applyFont="1" applyFill="1" applyAlignment="1">
      <alignment horizontal="left" vertical="center"/>
    </xf>
    <xf numFmtId="0" fontId="1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left" vertical="center"/>
    </xf>
    <xf numFmtId="165" fontId="1" fillId="0" borderId="11" xfId="0" applyNumberFormat="1" applyFont="1" applyBorder="1" applyAlignment="1">
      <alignment horizontal="center" vertical="center"/>
    </xf>
    <xf numFmtId="165" fontId="1" fillId="0" borderId="13" xfId="0" applyNumberFormat="1" applyFont="1" applyBorder="1" applyAlignment="1">
      <alignment horizontal="center" vertical="center"/>
    </xf>
    <xf numFmtId="166" fontId="1" fillId="0" borderId="11" xfId="0" applyNumberFormat="1" applyFont="1" applyBorder="1" applyAlignment="1">
      <alignment horizontal="center" vertical="center"/>
    </xf>
    <xf numFmtId="165" fontId="1" fillId="3" borderId="11" xfId="0" applyNumberFormat="1" applyFont="1" applyFill="1" applyBorder="1" applyAlignment="1">
      <alignment horizontal="center" vertical="center"/>
    </xf>
    <xf numFmtId="0" fontId="7" fillId="0" borderId="0" xfId="0" applyFont="1"/>
    <xf numFmtId="165" fontId="8" fillId="3" borderId="11" xfId="0" applyNumberFormat="1" applyFont="1" applyFill="1" applyBorder="1" applyAlignment="1">
      <alignment vertical="center"/>
    </xf>
    <xf numFmtId="0" fontId="5" fillId="3" borderId="0" xfId="0" applyFont="1" applyFill="1" applyAlignment="1">
      <alignment vertical="center"/>
    </xf>
    <xf numFmtId="0" fontId="1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left" vertical="center"/>
    </xf>
    <xf numFmtId="165" fontId="1" fillId="0" borderId="14" xfId="0" applyNumberFormat="1" applyFont="1" applyBorder="1" applyAlignment="1">
      <alignment vertical="center"/>
    </xf>
    <xf numFmtId="165" fontId="1" fillId="0" borderId="14" xfId="0" applyNumberFormat="1" applyFont="1" applyBorder="1" applyAlignment="1">
      <alignment horizontal="center" vertical="center"/>
    </xf>
    <xf numFmtId="166" fontId="1" fillId="0" borderId="14" xfId="0" applyNumberFormat="1" applyFont="1" applyBorder="1" applyAlignment="1">
      <alignment horizontal="center" vertical="center"/>
    </xf>
    <xf numFmtId="166" fontId="1" fillId="0" borderId="14" xfId="0" applyNumberFormat="1" applyFont="1" applyBorder="1" applyAlignment="1">
      <alignment vertical="center"/>
    </xf>
    <xf numFmtId="165" fontId="1" fillId="3" borderId="14" xfId="0" applyNumberFormat="1" applyFont="1" applyFill="1" applyBorder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0" fontId="6" fillId="0" borderId="16" xfId="0" applyFont="1" applyBorder="1" applyAlignment="1">
      <alignment horizontal="left" vertical="center"/>
    </xf>
    <xf numFmtId="0" fontId="1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65" fontId="1" fillId="0" borderId="19" xfId="0" applyNumberFormat="1" applyFont="1" applyBorder="1" applyAlignment="1">
      <alignment vertical="center"/>
    </xf>
    <xf numFmtId="165" fontId="1" fillId="0" borderId="19" xfId="0" applyNumberFormat="1" applyFont="1" applyBorder="1" applyAlignment="1">
      <alignment horizontal="center" vertical="center"/>
    </xf>
    <xf numFmtId="0" fontId="6" fillId="0" borderId="20" xfId="0" applyFont="1" applyBorder="1" applyAlignment="1">
      <alignment horizontal="left" vertical="center"/>
    </xf>
    <xf numFmtId="0" fontId="6" fillId="3" borderId="21" xfId="0" applyFont="1" applyFill="1" applyBorder="1" applyAlignment="1">
      <alignment horizontal="center" vertical="center"/>
    </xf>
    <xf numFmtId="0" fontId="2" fillId="0" borderId="22" xfId="0" applyFont="1" applyBorder="1"/>
    <xf numFmtId="165" fontId="1" fillId="0" borderId="10" xfId="0" applyNumberFormat="1" applyFont="1" applyBorder="1" applyAlignment="1">
      <alignment horizontal="center" vertical="center"/>
    </xf>
    <xf numFmtId="166" fontId="1" fillId="0" borderId="10" xfId="0" applyNumberFormat="1" applyFont="1" applyBorder="1" applyAlignment="1">
      <alignment horizontal="center" vertical="center"/>
    </xf>
    <xf numFmtId="165" fontId="1" fillId="3" borderId="10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65" fontId="1" fillId="0" borderId="9" xfId="0" applyNumberFormat="1" applyFont="1" applyBorder="1" applyAlignment="1">
      <alignment horizontal="center" vertical="center"/>
    </xf>
    <xf numFmtId="166" fontId="1" fillId="0" borderId="7" xfId="0" applyNumberFormat="1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166" fontId="1" fillId="0" borderId="21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65" fontId="9" fillId="2" borderId="0" xfId="0" applyNumberFormat="1" applyFont="1" applyFill="1" applyAlignment="1">
      <alignment horizontal="center"/>
    </xf>
    <xf numFmtId="164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0" borderId="0" xfId="0" applyFont="1"/>
    <xf numFmtId="0" fontId="11" fillId="3" borderId="0" xfId="0" applyFont="1" applyFill="1" applyAlignment="1">
      <alignment horizontal="right"/>
    </xf>
    <xf numFmtId="165" fontId="11" fillId="3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Kelapa Deres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3724310611801147"/>
          <c:y val="0.13694661732162219"/>
          <c:w val="0.82773109243697474"/>
          <c:h val="0.41380526237762588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'K Deres'!$L$11:$L$42</c:f>
              <c:strCache>
                <c:ptCount val="14"/>
                <c:pt idx="0">
                  <c:v>Kab. Purbalingga</c:v>
                </c:pt>
                <c:pt idx="1">
                  <c:v>Kab. Cilacap</c:v>
                </c:pt>
                <c:pt idx="2">
                  <c:v>Kab. Banyumas</c:v>
                </c:pt>
                <c:pt idx="3">
                  <c:v>Kab. Purworejo</c:v>
                </c:pt>
                <c:pt idx="4">
                  <c:v>Kab. Kebumen</c:v>
                </c:pt>
                <c:pt idx="5">
                  <c:v>Kab. Banjarnegara</c:v>
                </c:pt>
                <c:pt idx="6">
                  <c:v>Kab. Semarang</c:v>
                </c:pt>
                <c:pt idx="7">
                  <c:v>Kab. Magelang</c:v>
                </c:pt>
                <c:pt idx="8">
                  <c:v>Kab. Wonosobo</c:v>
                </c:pt>
                <c:pt idx="9">
                  <c:v>Kab. Wonogiri</c:v>
                </c:pt>
                <c:pt idx="10">
                  <c:v>Kab. Brebes</c:v>
                </c:pt>
                <c:pt idx="11">
                  <c:v>Kab. Pemalang</c:v>
                </c:pt>
                <c:pt idx="12">
                  <c:v>Kab. Boyolali</c:v>
                </c:pt>
                <c:pt idx="13">
                  <c:v>Kab. Klaten</c:v>
                </c:pt>
              </c:strCache>
            </c:strRef>
          </c:cat>
          <c:val>
            <c:numRef>
              <c:f>'K Deres'!$M$11:$M$42</c:f>
              <c:numCache>
                <c:formatCode>_(* #,##0.00_);_(* \(#,##0.00\);_(* \-??_);_(@_)</c:formatCode>
                <c:ptCount val="32"/>
                <c:pt idx="0">
                  <c:v>5491.99</c:v>
                </c:pt>
                <c:pt idx="1">
                  <c:v>5242.9299999999903</c:v>
                </c:pt>
                <c:pt idx="2">
                  <c:v>5111.49</c:v>
                </c:pt>
                <c:pt idx="3">
                  <c:v>2424.17</c:v>
                </c:pt>
                <c:pt idx="4">
                  <c:v>1747</c:v>
                </c:pt>
                <c:pt idx="5">
                  <c:v>1546.82</c:v>
                </c:pt>
                <c:pt idx="6">
                  <c:v>696.70999999999901</c:v>
                </c:pt>
                <c:pt idx="7">
                  <c:v>474.3</c:v>
                </c:pt>
                <c:pt idx="8">
                  <c:v>267.99999999999898</c:v>
                </c:pt>
                <c:pt idx="9">
                  <c:v>154</c:v>
                </c:pt>
                <c:pt idx="10">
                  <c:v>72.47</c:v>
                </c:pt>
                <c:pt idx="11">
                  <c:v>58.25</c:v>
                </c:pt>
                <c:pt idx="12">
                  <c:v>27.5</c:v>
                </c:pt>
                <c:pt idx="13">
                  <c:v>18.739999999999998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B82-42DA-9732-563AFC02EF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7710781"/>
        <c:axId val="841037355"/>
      </c:barChart>
      <c:catAx>
        <c:axId val="123771078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841037355"/>
        <c:crosses val="autoZero"/>
        <c:auto val="1"/>
        <c:lblAlgn val="ctr"/>
        <c:lblOffset val="100"/>
        <c:noMultiLvlLbl val="1"/>
      </c:catAx>
      <c:valAx>
        <c:axId val="84103735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237710781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Produksi Kelapa Deres Jateng (Ton)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3445378151260504"/>
          <c:y val="0.14732774514427815"/>
          <c:w val="0.82773109243697462"/>
          <c:h val="0.49502100930412035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'K Deres'!$N$11:$N$42</c:f>
              <c:strCache>
                <c:ptCount val="14"/>
                <c:pt idx="0">
                  <c:v>Kab. Banyumas</c:v>
                </c:pt>
                <c:pt idx="1">
                  <c:v>Kab. Purbalingga</c:v>
                </c:pt>
                <c:pt idx="2">
                  <c:v>Kab. Cilacap</c:v>
                </c:pt>
                <c:pt idx="3">
                  <c:v>Kab. Kebumen</c:v>
                </c:pt>
                <c:pt idx="4">
                  <c:v>Kab. Purworejo</c:v>
                </c:pt>
                <c:pt idx="5">
                  <c:v>Kab. Semarang</c:v>
                </c:pt>
                <c:pt idx="6">
                  <c:v>Kab. Banjarnegara</c:v>
                </c:pt>
                <c:pt idx="7">
                  <c:v>Kab. Magelang</c:v>
                </c:pt>
                <c:pt idx="8">
                  <c:v>Kab. Brebes</c:v>
                </c:pt>
                <c:pt idx="9">
                  <c:v>Kab. Wonosobo</c:v>
                </c:pt>
                <c:pt idx="10">
                  <c:v>Kab. Wonogiri</c:v>
                </c:pt>
                <c:pt idx="11">
                  <c:v>Kab. Pemalang</c:v>
                </c:pt>
                <c:pt idx="12">
                  <c:v>Kab. Klaten</c:v>
                </c:pt>
                <c:pt idx="13">
                  <c:v>Kab. Boyolali</c:v>
                </c:pt>
              </c:strCache>
            </c:strRef>
          </c:cat>
          <c:val>
            <c:numRef>
              <c:f>'K Deres'!$O$11:$O$42</c:f>
              <c:numCache>
                <c:formatCode>_(* #,##0.00_);_(* \(#,##0.00\);_(* \-??_);_(@_)</c:formatCode>
                <c:ptCount val="32"/>
                <c:pt idx="0">
                  <c:v>57557.04</c:v>
                </c:pt>
                <c:pt idx="1">
                  <c:v>56327.08</c:v>
                </c:pt>
                <c:pt idx="2">
                  <c:v>45658.52</c:v>
                </c:pt>
                <c:pt idx="3">
                  <c:v>15882.59</c:v>
                </c:pt>
                <c:pt idx="4">
                  <c:v>15545.18</c:v>
                </c:pt>
                <c:pt idx="5">
                  <c:v>1897.44</c:v>
                </c:pt>
                <c:pt idx="6">
                  <c:v>1886.8</c:v>
                </c:pt>
                <c:pt idx="7">
                  <c:v>1688.18</c:v>
                </c:pt>
                <c:pt idx="8">
                  <c:v>687.88</c:v>
                </c:pt>
                <c:pt idx="9">
                  <c:v>434.7</c:v>
                </c:pt>
                <c:pt idx="10">
                  <c:v>300.75</c:v>
                </c:pt>
                <c:pt idx="11">
                  <c:v>133.65</c:v>
                </c:pt>
                <c:pt idx="12">
                  <c:v>25.52</c:v>
                </c:pt>
                <c:pt idx="13">
                  <c:v>3.99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7D2-4FE0-A668-2C88A2A50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2317833"/>
        <c:axId val="151961105"/>
      </c:barChart>
      <c:catAx>
        <c:axId val="184231783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51961105"/>
        <c:crosses val="autoZero"/>
        <c:auto val="1"/>
        <c:lblAlgn val="ctr"/>
        <c:lblOffset val="100"/>
        <c:noMultiLvlLbl val="1"/>
      </c:catAx>
      <c:valAx>
        <c:axId val="15196110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842317833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r>
              <a:rPr lang="id-ID" sz="1400" b="0" i="0">
                <a:solidFill>
                  <a:srgbClr val="000000"/>
                </a:solidFill>
                <a:latin typeface="Calibri"/>
              </a:rPr>
              <a:t>Perkembangan Produksi Kelapa Deres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F81BD"/>
              </a:solidFill>
            </a:ln>
          </c:spPr>
          <c:marker>
            <c:symbol val="circle"/>
            <c:size val="7"/>
            <c:spPr>
              <a:solidFill>
                <a:srgbClr val="4F81BD"/>
              </a:solidFill>
              <a:ln cmpd="sng">
                <a:solidFill>
                  <a:srgbClr val="4F81BD"/>
                </a:solidFill>
              </a:ln>
            </c:spPr>
          </c:marker>
          <c:cat>
            <c:strRef>
              <c:f>'K Deres'!$B$64:$B$69</c:f>
              <c:strCache>
                <c:ptCount val="6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</c:strCache>
            </c:strRef>
          </c:cat>
          <c:val>
            <c:numRef>
              <c:f>'K Deres'!$C$64:$C$69</c:f>
              <c:numCache>
                <c:formatCode>_(* #,##0.00_);_(* \(#,##0.00\);_(* \-??_);_(@_)</c:formatCode>
                <c:ptCount val="6"/>
                <c:pt idx="0">
                  <c:v>198029.31999999998</c:v>
                </c:pt>
                <c:pt idx="1">
                  <c:v>200255.30000000005</c:v>
                </c:pt>
                <c:pt idx="2">
                  <c:v>208595.81000000003</c:v>
                </c:pt>
                <c:pt idx="3">
                  <c:v>202656.80999999997</c:v>
                </c:pt>
                <c:pt idx="4">
                  <c:v>209351.73152300002</c:v>
                </c:pt>
                <c:pt idx="5">
                  <c:v>204195.98518900003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87-404E-9F90-DCEBAB1A9F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6859390"/>
        <c:axId val="1629423860"/>
      </c:lineChart>
      <c:catAx>
        <c:axId val="188685939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629423860"/>
        <c:crosses val="autoZero"/>
        <c:auto val="1"/>
        <c:lblAlgn val="ctr"/>
        <c:lblOffset val="100"/>
        <c:noMultiLvlLbl val="1"/>
      </c:catAx>
      <c:valAx>
        <c:axId val="1629423860"/>
        <c:scaling>
          <c:orientation val="minMax"/>
          <c:min val="18000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id-ID" sz="1000" b="1" i="0">
                    <a:solidFill>
                      <a:srgbClr val="000000"/>
                    </a:solidFill>
                    <a:latin typeface="Calibri"/>
                  </a:rPr>
                  <a:t>Ton</a:t>
                </a:r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88685939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28575</xdr:colOff>
      <xdr:row>8</xdr:row>
      <xdr:rowOff>228600</xdr:rowOff>
    </xdr:from>
    <xdr:ext cx="4533900" cy="2667000"/>
    <xdr:graphicFrame macro="">
      <xdr:nvGraphicFramePr>
        <xdr:cNvPr id="2" name="Chart 108" title="Chart">
          <a:extLst>
            <a:ext uri="{FF2B5EF4-FFF2-40B4-BE49-F238E27FC236}">
              <a16:creationId xmlns:a16="http://schemas.microsoft.com/office/drawing/2014/main" id="{2628F9C7-5142-4D87-9E8F-C8F459E810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16</xdr:col>
      <xdr:colOff>47625</xdr:colOff>
      <xdr:row>26</xdr:row>
      <xdr:rowOff>76200</xdr:rowOff>
    </xdr:from>
    <xdr:ext cx="4533900" cy="3467100"/>
    <xdr:graphicFrame macro="">
      <xdr:nvGraphicFramePr>
        <xdr:cNvPr id="3" name="Chart 109" title="Chart">
          <a:extLst>
            <a:ext uri="{FF2B5EF4-FFF2-40B4-BE49-F238E27FC236}">
              <a16:creationId xmlns:a16="http://schemas.microsoft.com/office/drawing/2014/main" id="{92A5FA5D-26C8-4854-84F7-1BDD01E75A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276225</xdr:colOff>
      <xdr:row>61</xdr:row>
      <xdr:rowOff>9525</xdr:rowOff>
    </xdr:from>
    <xdr:ext cx="5819775" cy="2838450"/>
    <xdr:graphicFrame macro="">
      <xdr:nvGraphicFramePr>
        <xdr:cNvPr id="4" name="Chart 110" title="Chart">
          <a:extLst>
            <a:ext uri="{FF2B5EF4-FFF2-40B4-BE49-F238E27FC236}">
              <a16:creationId xmlns:a16="http://schemas.microsoft.com/office/drawing/2014/main" id="{24A2EB18-1DCA-4E7E-86AC-6DD06D9BE7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13</xdr:col>
      <xdr:colOff>885825</xdr:colOff>
      <xdr:row>59</xdr:row>
      <xdr:rowOff>152400</xdr:rowOff>
    </xdr:from>
    <xdr:ext cx="6562725" cy="5953125"/>
    <xdr:pic>
      <xdr:nvPicPr>
        <xdr:cNvPr id="5" name="image58.png" title="Gambar">
          <a:extLst>
            <a:ext uri="{FF2B5EF4-FFF2-40B4-BE49-F238E27FC236}">
              <a16:creationId xmlns:a16="http://schemas.microsoft.com/office/drawing/2014/main" id="{402C2CE5-863D-4686-A06B-3C50F096AE1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1991975" y="8181975"/>
          <a:ext cx="6562725" cy="5953125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152400</xdr:colOff>
      <xdr:row>61</xdr:row>
      <xdr:rowOff>152400</xdr:rowOff>
    </xdr:from>
    <xdr:ext cx="4981575" cy="4514850"/>
    <xdr:pic>
      <xdr:nvPicPr>
        <xdr:cNvPr id="6" name="image62.png" title="Image">
          <a:extLst>
            <a:ext uri="{FF2B5EF4-FFF2-40B4-BE49-F238E27FC236}">
              <a16:creationId xmlns:a16="http://schemas.microsoft.com/office/drawing/2014/main" id="{3CEE45E2-2848-4D69-A4FE-C6FC98C0C1BD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267450" y="8505825"/>
          <a:ext cx="4981575" cy="451485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TAP%202024/ATAP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kota"/>
      <sheetName val="Adas"/>
      <sheetName val="Akar Wangi"/>
      <sheetName val="Cabe Jamu"/>
      <sheetName val="Janggelan"/>
      <sheetName val="Cabe Jamu old"/>
      <sheetName val="Jarak Kepyar"/>
      <sheetName val="Kapas"/>
      <sheetName val="Klembak"/>
      <sheetName val="Nilam"/>
      <sheetName val="Pandan old"/>
      <sheetName val="Pandan"/>
      <sheetName val="Sereh Wangi"/>
      <sheetName val="Sheet1"/>
      <sheetName val="Sereh Wangi old"/>
      <sheetName val="Tebu Kristal"/>
      <sheetName val="Gula (Tumbu)"/>
      <sheetName val="Batang Tebu"/>
      <sheetName val="T. Asepan"/>
      <sheetName val="T. Rajang"/>
      <sheetName val="T. Garangan"/>
      <sheetName val="T. Virginia"/>
      <sheetName val="T. Vorstenland"/>
      <sheetName val="Tembakau Total"/>
      <sheetName val="Wijen"/>
      <sheetName val="Mendong"/>
      <sheetName val="Aren"/>
      <sheetName val="Asam Jawa"/>
      <sheetName val="Asam Manis"/>
      <sheetName val="Cassiavera"/>
      <sheetName val="Cengkeh"/>
      <sheetName val="Glagah Arjuna"/>
      <sheetName val="J. Mete"/>
      <sheetName val="Jarak Pagar"/>
      <sheetName val="Jenitri"/>
      <sheetName val="Kakao"/>
      <sheetName val="Kapok"/>
      <sheetName val="Karet"/>
      <sheetName val="K. Dalam"/>
      <sheetName val="K Deres"/>
      <sheetName val="K. Genjah"/>
      <sheetName val="K. Hibrida"/>
      <sheetName val="K.Kopyor"/>
      <sheetName val="Kelapa Total"/>
      <sheetName val="Kemiri"/>
      <sheetName val="Kemiri Sunan"/>
      <sheetName val="Kemukus"/>
      <sheetName val="Kenanga"/>
      <sheetName val="Kina"/>
      <sheetName val="K. Arabika"/>
      <sheetName val="K. Robusta"/>
      <sheetName val="Kopi Total"/>
      <sheetName val="Lada"/>
      <sheetName val="Nipah"/>
      <sheetName val="Pala"/>
      <sheetName val="Panili"/>
      <sheetName val="Pinang"/>
      <sheetName val="Siwalan"/>
      <sheetName val="Te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3">
          <cell r="A3" t="str">
            <v>TANAMAN TAHUNAN DI JAWA TENGAH TAHUN 2024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11">
          <cell r="L11" t="str">
            <v>Kab. Purbalingga</v>
          </cell>
          <cell r="M11">
            <v>5491.99</v>
          </cell>
          <cell r="N11" t="str">
            <v>Kab. Banyumas</v>
          </cell>
          <cell r="O11">
            <v>57557.04</v>
          </cell>
        </row>
        <row r="12">
          <cell r="L12" t="str">
            <v>Kab. Cilacap</v>
          </cell>
          <cell r="M12">
            <v>5242.9299999999903</v>
          </cell>
          <cell r="N12" t="str">
            <v>Kab. Purbalingga</v>
          </cell>
          <cell r="O12">
            <v>56327.08</v>
          </cell>
        </row>
        <row r="13">
          <cell r="L13" t="str">
            <v>Kab. Banyumas</v>
          </cell>
          <cell r="M13">
            <v>5111.49</v>
          </cell>
          <cell r="N13" t="str">
            <v>Kab. Cilacap</v>
          </cell>
          <cell r="O13">
            <v>45658.52</v>
          </cell>
        </row>
        <row r="14">
          <cell r="L14" t="str">
            <v>Kab. Purworejo</v>
          </cell>
          <cell r="M14">
            <v>2424.17</v>
          </cell>
          <cell r="N14" t="str">
            <v>Kab. Kebumen</v>
          </cell>
          <cell r="O14">
            <v>15882.59</v>
          </cell>
        </row>
        <row r="15">
          <cell r="L15" t="str">
            <v>Kab. Kebumen</v>
          </cell>
          <cell r="M15">
            <v>1747</v>
          </cell>
          <cell r="N15" t="str">
            <v>Kab. Purworejo</v>
          </cell>
          <cell r="O15">
            <v>15545.18</v>
          </cell>
        </row>
        <row r="16">
          <cell r="L16" t="str">
            <v>Kab. Banjarnegara</v>
          </cell>
          <cell r="M16">
            <v>1546.82</v>
          </cell>
          <cell r="N16" t="str">
            <v>Kab. Semarang</v>
          </cell>
          <cell r="O16">
            <v>1897.44</v>
          </cell>
        </row>
        <row r="17">
          <cell r="L17" t="str">
            <v>Kab. Semarang</v>
          </cell>
          <cell r="M17">
            <v>696.70999999999901</v>
          </cell>
          <cell r="N17" t="str">
            <v>Kab. Banjarnegara</v>
          </cell>
          <cell r="O17">
            <v>1886.8</v>
          </cell>
        </row>
        <row r="18">
          <cell r="L18" t="str">
            <v>Kab. Magelang</v>
          </cell>
          <cell r="M18">
            <v>474.3</v>
          </cell>
          <cell r="N18" t="str">
            <v>Kab. Magelang</v>
          </cell>
          <cell r="O18">
            <v>1688.18</v>
          </cell>
        </row>
        <row r="19">
          <cell r="L19" t="str">
            <v>Kab. Wonosobo</v>
          </cell>
          <cell r="M19">
            <v>267.99999999999898</v>
          </cell>
          <cell r="N19" t="str">
            <v>Kab. Brebes</v>
          </cell>
          <cell r="O19">
            <v>687.88</v>
          </cell>
        </row>
        <row r="20">
          <cell r="L20" t="str">
            <v>Kab. Wonogiri</v>
          </cell>
          <cell r="M20">
            <v>154</v>
          </cell>
          <cell r="N20" t="str">
            <v>Kab. Wonosobo</v>
          </cell>
          <cell r="O20">
            <v>434.7</v>
          </cell>
        </row>
        <row r="21">
          <cell r="L21" t="str">
            <v>Kab. Brebes</v>
          </cell>
          <cell r="M21">
            <v>72.47</v>
          </cell>
          <cell r="N21" t="str">
            <v>Kab. Wonogiri</v>
          </cell>
          <cell r="O21">
            <v>300.75</v>
          </cell>
        </row>
        <row r="22">
          <cell r="L22" t="str">
            <v>Kab. Pemalang</v>
          </cell>
          <cell r="M22">
            <v>58.25</v>
          </cell>
          <cell r="N22" t="str">
            <v>Kab. Pemalang</v>
          </cell>
          <cell r="O22">
            <v>133.65</v>
          </cell>
        </row>
        <row r="23">
          <cell r="L23" t="str">
            <v>Kab. Boyolali</v>
          </cell>
          <cell r="M23">
            <v>27.5</v>
          </cell>
          <cell r="N23" t="str">
            <v>Kab. Klaten</v>
          </cell>
          <cell r="O23">
            <v>25.52</v>
          </cell>
        </row>
        <row r="24">
          <cell r="L24" t="str">
            <v>Kab. Klaten</v>
          </cell>
          <cell r="M24">
            <v>18.739999999999998</v>
          </cell>
          <cell r="N24" t="str">
            <v>Kab. Boyolali</v>
          </cell>
          <cell r="O24">
            <v>3.99</v>
          </cell>
        </row>
        <row r="64">
          <cell r="B64" t="str">
            <v>2024</v>
          </cell>
          <cell r="C64">
            <v>198029.31999999998</v>
          </cell>
        </row>
        <row r="65">
          <cell r="B65" t="str">
            <v>2023</v>
          </cell>
          <cell r="C65">
            <v>200255.30000000005</v>
          </cell>
        </row>
        <row r="66">
          <cell r="B66" t="str">
            <v>2022</v>
          </cell>
          <cell r="C66">
            <v>208595.81000000003</v>
          </cell>
        </row>
        <row r="67">
          <cell r="B67" t="str">
            <v>2021</v>
          </cell>
          <cell r="C67">
            <v>202656.80999999997</v>
          </cell>
        </row>
        <row r="68">
          <cell r="B68" t="str">
            <v>2020</v>
          </cell>
          <cell r="C68">
            <v>209351.73152300002</v>
          </cell>
        </row>
        <row r="69">
          <cell r="B69" t="str">
            <v>2019</v>
          </cell>
          <cell r="C69">
            <v>204195.98518900003</v>
          </cell>
        </row>
      </sheetData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datawrapper.dwcdn.net/ksU1F/1/" TargetMode="External"/><Relationship Id="rId1" Type="http://schemas.openxmlformats.org/officeDocument/2006/relationships/hyperlink" Target="https://datawrapper.dwcdn.net/4KiGe/1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2C408-515F-4F90-A18E-D8C391551AF6}">
  <sheetPr>
    <tabColor rgb="FF974806"/>
    <pageSetUpPr fitToPage="1"/>
  </sheetPr>
  <dimension ref="A1:AA1003"/>
  <sheetViews>
    <sheetView tabSelected="1" workbookViewId="0">
      <selection sqref="A1:J1"/>
    </sheetView>
  </sheetViews>
  <sheetFormatPr defaultColWidth="14.42578125" defaultRowHeight="15" customHeight="1"/>
  <cols>
    <col min="1" max="1" width="4.5703125" customWidth="1"/>
    <col min="2" max="2" width="19.28515625" customWidth="1"/>
    <col min="3" max="3" width="12.5703125" customWidth="1"/>
    <col min="4" max="4" width="13.85546875" customWidth="1"/>
    <col min="5" max="5" width="11.28515625" customWidth="1"/>
    <col min="6" max="6" width="14.7109375" customWidth="1"/>
    <col min="7" max="7" width="15.42578125" customWidth="1"/>
    <col min="8" max="8" width="10.5703125" customWidth="1"/>
    <col min="9" max="9" width="11.5703125" customWidth="1"/>
    <col min="10" max="10" width="11.42578125" customWidth="1"/>
    <col min="11" max="11" width="9.140625" customWidth="1"/>
    <col min="12" max="12" width="15.28515625" customWidth="1"/>
    <col min="13" max="13" width="16.85546875" customWidth="1"/>
    <col min="14" max="14" width="13.28515625" customWidth="1"/>
    <col min="15" max="15" width="13.42578125" customWidth="1"/>
    <col min="16" max="23" width="9.140625" customWidth="1"/>
    <col min="24" max="24" width="9.140625" hidden="1" customWidth="1"/>
    <col min="25" max="27" width="9.140625" customWidth="1"/>
  </cols>
  <sheetData>
    <row r="1" spans="1:27" ht="12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AA1" s="3" t="s">
        <v>1</v>
      </c>
    </row>
    <row r="2" spans="1:27" ht="12.75" customHeight="1">
      <c r="A2" s="1" t="s">
        <v>2</v>
      </c>
      <c r="B2" s="2"/>
      <c r="C2" s="2"/>
      <c r="D2" s="2"/>
      <c r="E2" s="2"/>
      <c r="F2" s="2"/>
      <c r="G2" s="2"/>
      <c r="H2" s="2"/>
      <c r="I2" s="2"/>
      <c r="J2" s="2"/>
    </row>
    <row r="3" spans="1:27" ht="12.75" customHeight="1">
      <c r="A3" s="1" t="str">
        <f>[1]Aren!$A$3</f>
        <v>TANAMAN TAHUNAN DI JAWA TENGAH TAHUN 2024</v>
      </c>
      <c r="B3" s="2"/>
      <c r="C3" s="2"/>
      <c r="D3" s="2"/>
      <c r="E3" s="2"/>
      <c r="F3" s="2"/>
      <c r="G3" s="2"/>
      <c r="H3" s="2"/>
      <c r="I3" s="2"/>
      <c r="J3" s="2"/>
    </row>
    <row r="4" spans="1:27" ht="12.75" customHeight="1">
      <c r="A4" s="1" t="s">
        <v>3</v>
      </c>
      <c r="B4" s="2"/>
      <c r="C4" s="2"/>
      <c r="D4" s="2"/>
      <c r="E4" s="2"/>
      <c r="F4" s="2"/>
      <c r="G4" s="2"/>
      <c r="H4" s="2"/>
      <c r="I4" s="2"/>
      <c r="J4" s="2"/>
    </row>
    <row r="5" spans="1:27" ht="12.75" customHeight="1">
      <c r="A5" s="4"/>
      <c r="B5" s="5"/>
      <c r="C5" s="5"/>
      <c r="D5" s="5"/>
      <c r="E5" s="5"/>
      <c r="F5" s="5"/>
      <c r="G5" s="5"/>
      <c r="H5" s="5"/>
      <c r="I5" s="5"/>
      <c r="J5" s="5"/>
    </row>
    <row r="6" spans="1:27" ht="12.75" customHeight="1">
      <c r="A6" s="6" t="s">
        <v>4</v>
      </c>
      <c r="B6" s="6" t="s">
        <v>5</v>
      </c>
      <c r="C6" s="7" t="s">
        <v>6</v>
      </c>
      <c r="D6" s="8"/>
      <c r="E6" s="8"/>
      <c r="F6" s="9"/>
      <c r="G6" s="10" t="s">
        <v>7</v>
      </c>
      <c r="H6" s="9"/>
      <c r="I6" s="11" t="s">
        <v>8</v>
      </c>
      <c r="J6" s="12" t="s">
        <v>9</v>
      </c>
    </row>
    <row r="7" spans="1:27" ht="12.75" customHeight="1">
      <c r="A7" s="13"/>
      <c r="B7" s="13"/>
      <c r="C7" s="14"/>
      <c r="D7" s="5"/>
      <c r="E7" s="5"/>
      <c r="F7" s="15"/>
      <c r="G7" s="14"/>
      <c r="H7" s="15"/>
      <c r="I7" s="13"/>
      <c r="J7" s="13"/>
    </row>
    <row r="8" spans="1:27" ht="12.75" customHeight="1">
      <c r="A8" s="13"/>
      <c r="B8" s="13"/>
      <c r="C8" s="6" t="s">
        <v>10</v>
      </c>
      <c r="D8" s="6" t="s">
        <v>11</v>
      </c>
      <c r="E8" s="6" t="s">
        <v>12</v>
      </c>
      <c r="F8" s="6" t="s">
        <v>13</v>
      </c>
      <c r="G8" s="16" t="s">
        <v>14</v>
      </c>
      <c r="H8" s="11" t="s">
        <v>15</v>
      </c>
      <c r="I8" s="13"/>
      <c r="J8" s="13"/>
      <c r="L8" s="17" t="s">
        <v>16</v>
      </c>
      <c r="M8" s="2"/>
      <c r="N8" s="17" t="s">
        <v>17</v>
      </c>
      <c r="O8" s="2"/>
    </row>
    <row r="9" spans="1:27" ht="20.25" customHeight="1">
      <c r="A9" s="18"/>
      <c r="B9" s="13"/>
      <c r="C9" s="13"/>
      <c r="D9" s="18"/>
      <c r="E9" s="18"/>
      <c r="F9" s="13"/>
      <c r="G9" s="13"/>
      <c r="H9" s="18"/>
      <c r="I9" s="18"/>
      <c r="J9" s="13"/>
      <c r="L9" s="2"/>
      <c r="M9" s="2"/>
      <c r="N9" s="2"/>
      <c r="O9" s="2"/>
    </row>
    <row r="10" spans="1:27" ht="12.75" customHeight="1">
      <c r="A10" s="19">
        <v>1</v>
      </c>
      <c r="B10" s="20">
        <v>2</v>
      </c>
      <c r="C10" s="20">
        <v>4</v>
      </c>
      <c r="D10" s="21">
        <v>5</v>
      </c>
      <c r="E10" s="22">
        <v>6</v>
      </c>
      <c r="F10" s="20">
        <v>3</v>
      </c>
      <c r="G10" s="20">
        <v>7</v>
      </c>
      <c r="H10" s="23">
        <v>8</v>
      </c>
      <c r="I10" s="24">
        <v>9</v>
      </c>
      <c r="J10" s="25">
        <v>10</v>
      </c>
      <c r="L10" s="26" t="s">
        <v>18</v>
      </c>
      <c r="M10" s="26" t="s">
        <v>19</v>
      </c>
      <c r="N10" s="26" t="s">
        <v>18</v>
      </c>
      <c r="O10" s="26" t="s">
        <v>20</v>
      </c>
      <c r="X10" s="27" t="s">
        <v>21</v>
      </c>
    </row>
    <row r="11" spans="1:27" ht="12.75" customHeight="1">
      <c r="A11" s="28">
        <v>1</v>
      </c>
      <c r="B11" s="29" t="s">
        <v>22</v>
      </c>
      <c r="C11" s="30">
        <v>118.75</v>
      </c>
      <c r="D11" s="30">
        <v>4789.2299999999996</v>
      </c>
      <c r="E11" s="30">
        <v>334.95</v>
      </c>
      <c r="F11" s="31">
        <f t="shared" ref="F11:F42" si="0">SUM(C11:E11)</f>
        <v>5242.9299999999994</v>
      </c>
      <c r="G11" s="30">
        <v>45658.52</v>
      </c>
      <c r="H11" s="32">
        <f t="shared" ref="H11:H42" si="1">IFERROR(G11/D11*1000,0)</f>
        <v>9533.5826427212724</v>
      </c>
      <c r="I11" s="32">
        <v>14494</v>
      </c>
      <c r="J11" s="33">
        <f t="shared" ref="J11:J43" si="2">IF(I11=0,0,F11/I11)</f>
        <v>0.36173106112874287</v>
      </c>
      <c r="K11" s="34" t="str">
        <f>IF(F11=0,"",IF(G11=F11,"SALAH",""))</f>
        <v/>
      </c>
      <c r="L11" s="29" t="str">
        <f ca="1">IFERROR(__xludf.DUMMYFUNCTION("QUERY($B$11:$H$42,""select B where F&lt;&gt;0 Order By F desc"")"),"Kab. Purbalingga")</f>
        <v>Kab. Purbalingga</v>
      </c>
      <c r="M11" s="35">
        <f ca="1">IFERROR(__xludf.DUMMYFUNCTION("QUERY($B$11:$H$42,""select F where F&lt;&gt;0 Order By F desc"")"),5491.99)</f>
        <v>5491.99</v>
      </c>
      <c r="N11" s="29" t="str">
        <f ca="1">IFERROR(__xludf.DUMMYFUNCTION("QUERY($B$11:$H$42,""select B where G&lt;&gt;0 Order By G desc"")"),"Kab. Banyumas")</f>
        <v>Kab. Banyumas</v>
      </c>
      <c r="O11" s="35">
        <f ca="1">IFERROR(__xludf.DUMMYFUNCTION("QUERY($B$11:$H$42,""select G where G&lt;&gt;0 Order By G desc"")"),57557.04)</f>
        <v>57557.04</v>
      </c>
      <c r="X11" s="36" t="str">
        <f t="shared" ref="X11:X42" si="3">IF(ISNUMBER(SEARCH("Kab. ",B11)),RIGHT(B11,LEN(B11)-FIND(" ",B11)),B11)</f>
        <v>Cilacap</v>
      </c>
    </row>
    <row r="12" spans="1:27" ht="12.75" customHeight="1">
      <c r="A12" s="37">
        <v>2</v>
      </c>
      <c r="B12" s="38" t="s">
        <v>23</v>
      </c>
      <c r="C12" s="39">
        <v>0</v>
      </c>
      <c r="D12" s="39">
        <v>5111.49</v>
      </c>
      <c r="E12" s="39">
        <v>0</v>
      </c>
      <c r="F12" s="40">
        <f t="shared" si="0"/>
        <v>5111.49</v>
      </c>
      <c r="G12" s="39">
        <v>57557.04</v>
      </c>
      <c r="H12" s="41">
        <f t="shared" si="1"/>
        <v>11260.325267192151</v>
      </c>
      <c r="I12" s="42">
        <v>27872</v>
      </c>
      <c r="J12" s="43">
        <f t="shared" si="2"/>
        <v>0.18339157577497128</v>
      </c>
      <c r="L12" s="38" t="str">
        <f ca="1">IFERROR(__xludf.DUMMYFUNCTION("""COMPUTED_VALUE"""),"Kab. Cilacap")</f>
        <v>Kab. Cilacap</v>
      </c>
      <c r="M12" s="44">
        <f ca="1">IFERROR(__xludf.DUMMYFUNCTION("""COMPUTED_VALUE"""),5242.92999999999)</f>
        <v>5242.9299999999903</v>
      </c>
      <c r="N12" s="38" t="str">
        <f ca="1">IFERROR(__xludf.DUMMYFUNCTION("""COMPUTED_VALUE"""),"Kab. Purbalingga")</f>
        <v>Kab. Purbalingga</v>
      </c>
      <c r="O12" s="44">
        <f ca="1">IFERROR(__xludf.DUMMYFUNCTION("""COMPUTED_VALUE"""),56327.08)</f>
        <v>56327.08</v>
      </c>
      <c r="X12" s="36" t="str">
        <f t="shared" si="3"/>
        <v>Banyumas</v>
      </c>
    </row>
    <row r="13" spans="1:27" ht="12.75" customHeight="1">
      <c r="A13" s="37">
        <v>3</v>
      </c>
      <c r="B13" s="38" t="s">
        <v>24</v>
      </c>
      <c r="C13" s="39">
        <v>13</v>
      </c>
      <c r="D13" s="39">
        <v>5344.32</v>
      </c>
      <c r="E13" s="39">
        <v>134.66999999999999</v>
      </c>
      <c r="F13" s="40">
        <f t="shared" si="0"/>
        <v>5491.99</v>
      </c>
      <c r="G13" s="39">
        <v>56327.08</v>
      </c>
      <c r="H13" s="41">
        <f t="shared" si="1"/>
        <v>10539.615891263997</v>
      </c>
      <c r="I13" s="42">
        <v>20469</v>
      </c>
      <c r="J13" s="43">
        <f t="shared" si="2"/>
        <v>0.26830768479163614</v>
      </c>
      <c r="L13" s="38" t="str">
        <f ca="1">IFERROR(__xludf.DUMMYFUNCTION("""COMPUTED_VALUE"""),"Kab. Banyumas")</f>
        <v>Kab. Banyumas</v>
      </c>
      <c r="M13" s="44">
        <f ca="1">IFERROR(__xludf.DUMMYFUNCTION("""COMPUTED_VALUE"""),5111.49)</f>
        <v>5111.49</v>
      </c>
      <c r="N13" s="38" t="str">
        <f ca="1">IFERROR(__xludf.DUMMYFUNCTION("""COMPUTED_VALUE"""),"Kab. Cilacap")</f>
        <v>Kab. Cilacap</v>
      </c>
      <c r="O13" s="44">
        <f ca="1">IFERROR(__xludf.DUMMYFUNCTION("""COMPUTED_VALUE"""),45658.52)</f>
        <v>45658.52</v>
      </c>
      <c r="X13" s="36" t="str">
        <f t="shared" si="3"/>
        <v>Purbalingga</v>
      </c>
    </row>
    <row r="14" spans="1:27" ht="12.75" customHeight="1">
      <c r="A14" s="37">
        <v>4</v>
      </c>
      <c r="B14" s="38" t="s">
        <v>25</v>
      </c>
      <c r="C14" s="40">
        <v>63.6</v>
      </c>
      <c r="D14" s="40">
        <v>1467.54</v>
      </c>
      <c r="E14" s="40">
        <v>15.68</v>
      </c>
      <c r="F14" s="40">
        <f t="shared" si="0"/>
        <v>1546.82</v>
      </c>
      <c r="G14" s="40">
        <v>1886.8</v>
      </c>
      <c r="H14" s="41">
        <f t="shared" si="1"/>
        <v>1285.6889761096802</v>
      </c>
      <c r="I14" s="41">
        <v>11619</v>
      </c>
      <c r="J14" s="43">
        <f t="shared" si="2"/>
        <v>0.13312849642826405</v>
      </c>
      <c r="L14" s="38" t="str">
        <f ca="1">IFERROR(__xludf.DUMMYFUNCTION("""COMPUTED_VALUE"""),"Kab. Purworejo")</f>
        <v>Kab. Purworejo</v>
      </c>
      <c r="M14" s="44">
        <f ca="1">IFERROR(__xludf.DUMMYFUNCTION("""COMPUTED_VALUE"""),2424.17)</f>
        <v>2424.17</v>
      </c>
      <c r="N14" s="38" t="str">
        <f ca="1">IFERROR(__xludf.DUMMYFUNCTION("""COMPUTED_VALUE"""),"Kab. Kebumen")</f>
        <v>Kab. Kebumen</v>
      </c>
      <c r="O14" s="44">
        <f ca="1">IFERROR(__xludf.DUMMYFUNCTION("""COMPUTED_VALUE"""),15882.59)</f>
        <v>15882.59</v>
      </c>
      <c r="X14" s="36" t="str">
        <f t="shared" si="3"/>
        <v>Banjarnegara</v>
      </c>
    </row>
    <row r="15" spans="1:27" ht="12.75" customHeight="1">
      <c r="A15" s="37">
        <v>5</v>
      </c>
      <c r="B15" s="38" t="s">
        <v>26</v>
      </c>
      <c r="C15" s="39">
        <v>39</v>
      </c>
      <c r="D15" s="39">
        <v>1674</v>
      </c>
      <c r="E15" s="39">
        <v>34</v>
      </c>
      <c r="F15" s="40">
        <f t="shared" si="0"/>
        <v>1747</v>
      </c>
      <c r="G15" s="39">
        <v>15882.59</v>
      </c>
      <c r="H15" s="41">
        <f t="shared" si="1"/>
        <v>9487.8076463560337</v>
      </c>
      <c r="I15" s="42">
        <v>12176</v>
      </c>
      <c r="J15" s="43">
        <f t="shared" si="2"/>
        <v>0.14347897503285151</v>
      </c>
      <c r="L15" s="38" t="str">
        <f ca="1">IFERROR(__xludf.DUMMYFUNCTION("""COMPUTED_VALUE"""),"Kab. Kebumen")</f>
        <v>Kab. Kebumen</v>
      </c>
      <c r="M15" s="44">
        <f ca="1">IFERROR(__xludf.DUMMYFUNCTION("""COMPUTED_VALUE"""),1747)</f>
        <v>1747</v>
      </c>
      <c r="N15" s="38" t="str">
        <f ca="1">IFERROR(__xludf.DUMMYFUNCTION("""COMPUTED_VALUE"""),"Kab. Purworejo")</f>
        <v>Kab. Purworejo</v>
      </c>
      <c r="O15" s="44">
        <f ca="1">IFERROR(__xludf.DUMMYFUNCTION("""COMPUTED_VALUE"""),15545.18)</f>
        <v>15545.18</v>
      </c>
      <c r="X15" s="36" t="str">
        <f t="shared" si="3"/>
        <v>Kebumen</v>
      </c>
    </row>
    <row r="16" spans="1:27" ht="12.75" customHeight="1">
      <c r="A16" s="37">
        <v>6</v>
      </c>
      <c r="B16" s="38" t="s">
        <v>27</v>
      </c>
      <c r="C16" s="39">
        <v>9.0500000000000007</v>
      </c>
      <c r="D16" s="39">
        <v>2411.67</v>
      </c>
      <c r="E16" s="40">
        <v>3.45</v>
      </c>
      <c r="F16" s="40">
        <f t="shared" si="0"/>
        <v>2424.17</v>
      </c>
      <c r="G16" s="39">
        <v>15545.18</v>
      </c>
      <c r="H16" s="41">
        <f t="shared" si="1"/>
        <v>6445.8155551961918</v>
      </c>
      <c r="I16" s="42">
        <v>6621</v>
      </c>
      <c r="J16" s="43">
        <f t="shared" si="2"/>
        <v>0.36613351457483767</v>
      </c>
      <c r="L16" s="38" t="str">
        <f ca="1">IFERROR(__xludf.DUMMYFUNCTION("""COMPUTED_VALUE"""),"Kab. Banjarnegara")</f>
        <v>Kab. Banjarnegara</v>
      </c>
      <c r="M16" s="44">
        <f ca="1">IFERROR(__xludf.DUMMYFUNCTION("""COMPUTED_VALUE"""),1546.82)</f>
        <v>1546.82</v>
      </c>
      <c r="N16" s="38" t="str">
        <f ca="1">IFERROR(__xludf.DUMMYFUNCTION("""COMPUTED_VALUE"""),"Kab. Semarang")</f>
        <v>Kab. Semarang</v>
      </c>
      <c r="O16" s="44">
        <f ca="1">IFERROR(__xludf.DUMMYFUNCTION("""COMPUTED_VALUE"""),1897.44)</f>
        <v>1897.44</v>
      </c>
      <c r="X16" s="36" t="str">
        <f t="shared" si="3"/>
        <v>Purworejo</v>
      </c>
    </row>
    <row r="17" spans="1:24" ht="12.75" customHeight="1">
      <c r="A17" s="37">
        <v>7</v>
      </c>
      <c r="B17" s="38" t="s">
        <v>28</v>
      </c>
      <c r="C17" s="39">
        <v>1.2</v>
      </c>
      <c r="D17" s="39">
        <v>264.39999999999998</v>
      </c>
      <c r="E17" s="39">
        <v>2.4</v>
      </c>
      <c r="F17" s="40">
        <f t="shared" si="0"/>
        <v>267.99999999999994</v>
      </c>
      <c r="G17" s="39">
        <v>434.7</v>
      </c>
      <c r="H17" s="41">
        <f t="shared" si="1"/>
        <v>1644.0998487140696</v>
      </c>
      <c r="I17" s="42">
        <v>1418</v>
      </c>
      <c r="J17" s="43">
        <f t="shared" si="2"/>
        <v>0.18899858956276441</v>
      </c>
      <c r="L17" s="38" t="str">
        <f ca="1">IFERROR(__xludf.DUMMYFUNCTION("""COMPUTED_VALUE"""),"Kab. Semarang")</f>
        <v>Kab. Semarang</v>
      </c>
      <c r="M17" s="44">
        <f ca="1">IFERROR(__xludf.DUMMYFUNCTION("""COMPUTED_VALUE"""),696.709999999999)</f>
        <v>696.70999999999901</v>
      </c>
      <c r="N17" s="38" t="str">
        <f ca="1">IFERROR(__xludf.DUMMYFUNCTION("""COMPUTED_VALUE"""),"Kab. Banjarnegara")</f>
        <v>Kab. Banjarnegara</v>
      </c>
      <c r="O17" s="44">
        <f ca="1">IFERROR(__xludf.DUMMYFUNCTION("""COMPUTED_VALUE"""),1886.8)</f>
        <v>1886.8</v>
      </c>
      <c r="X17" s="36" t="str">
        <f t="shared" si="3"/>
        <v>Wonosobo</v>
      </c>
    </row>
    <row r="18" spans="1:24" ht="12.75" customHeight="1">
      <c r="A18" s="37">
        <v>8</v>
      </c>
      <c r="B18" s="38" t="s">
        <v>29</v>
      </c>
      <c r="C18" s="40">
        <v>41.3</v>
      </c>
      <c r="D18" s="40">
        <v>430</v>
      </c>
      <c r="E18" s="40">
        <v>3</v>
      </c>
      <c r="F18" s="40">
        <f t="shared" si="0"/>
        <v>474.3</v>
      </c>
      <c r="G18" s="40">
        <v>1688.18</v>
      </c>
      <c r="H18" s="41">
        <f t="shared" si="1"/>
        <v>3926</v>
      </c>
      <c r="I18" s="41">
        <v>3015</v>
      </c>
      <c r="J18" s="43">
        <f t="shared" si="2"/>
        <v>0.15731343283582089</v>
      </c>
      <c r="L18" s="38" t="str">
        <f ca="1">IFERROR(__xludf.DUMMYFUNCTION("""COMPUTED_VALUE"""),"Kab. Magelang")</f>
        <v>Kab. Magelang</v>
      </c>
      <c r="M18" s="44">
        <f ca="1">IFERROR(__xludf.DUMMYFUNCTION("""COMPUTED_VALUE"""),474.3)</f>
        <v>474.3</v>
      </c>
      <c r="N18" s="38" t="str">
        <f ca="1">IFERROR(__xludf.DUMMYFUNCTION("""COMPUTED_VALUE"""),"Kab. Magelang")</f>
        <v>Kab. Magelang</v>
      </c>
      <c r="O18" s="44">
        <f ca="1">IFERROR(__xludf.DUMMYFUNCTION("""COMPUTED_VALUE"""),1688.18)</f>
        <v>1688.18</v>
      </c>
      <c r="X18" s="36" t="str">
        <f t="shared" si="3"/>
        <v>Magelang</v>
      </c>
    </row>
    <row r="19" spans="1:24" ht="12.75" customHeight="1">
      <c r="A19" s="37">
        <v>9</v>
      </c>
      <c r="B19" s="38" t="s">
        <v>30</v>
      </c>
      <c r="C19" s="39">
        <v>0</v>
      </c>
      <c r="D19" s="39">
        <v>19.5</v>
      </c>
      <c r="E19" s="39">
        <v>8</v>
      </c>
      <c r="F19" s="40">
        <f t="shared" si="0"/>
        <v>27.5</v>
      </c>
      <c r="G19" s="39">
        <v>3.99</v>
      </c>
      <c r="H19" s="41">
        <f t="shared" si="1"/>
        <v>204.61538461538461</v>
      </c>
      <c r="I19" s="42">
        <v>209</v>
      </c>
      <c r="J19" s="43">
        <f t="shared" si="2"/>
        <v>0.13157894736842105</v>
      </c>
      <c r="L19" s="38" t="str">
        <f ca="1">IFERROR(__xludf.DUMMYFUNCTION("""COMPUTED_VALUE"""),"Kab. Wonosobo")</f>
        <v>Kab. Wonosobo</v>
      </c>
      <c r="M19" s="44">
        <f ca="1">IFERROR(__xludf.DUMMYFUNCTION("""COMPUTED_VALUE"""),267.999999999999)</f>
        <v>267.99999999999898</v>
      </c>
      <c r="N19" s="38" t="str">
        <f ca="1">IFERROR(__xludf.DUMMYFUNCTION("""COMPUTED_VALUE"""),"Kab. Brebes")</f>
        <v>Kab. Brebes</v>
      </c>
      <c r="O19" s="44">
        <f ca="1">IFERROR(__xludf.DUMMYFUNCTION("""COMPUTED_VALUE"""),687.88)</f>
        <v>687.88</v>
      </c>
      <c r="X19" s="36" t="str">
        <f t="shared" si="3"/>
        <v>Boyolali</v>
      </c>
    </row>
    <row r="20" spans="1:24" ht="12.75" customHeight="1">
      <c r="A20" s="37">
        <v>10</v>
      </c>
      <c r="B20" s="38" t="s">
        <v>31</v>
      </c>
      <c r="C20" s="39">
        <v>0</v>
      </c>
      <c r="D20" s="39">
        <v>15.34</v>
      </c>
      <c r="E20" s="39">
        <v>3.4</v>
      </c>
      <c r="F20" s="40">
        <f t="shared" si="0"/>
        <v>18.739999999999998</v>
      </c>
      <c r="G20" s="39">
        <v>25.52</v>
      </c>
      <c r="H20" s="41">
        <f t="shared" si="1"/>
        <v>1663.6245110821383</v>
      </c>
      <c r="I20" s="42">
        <v>165</v>
      </c>
      <c r="J20" s="43">
        <f t="shared" si="2"/>
        <v>0.11357575757575757</v>
      </c>
      <c r="L20" s="38" t="str">
        <f ca="1">IFERROR(__xludf.DUMMYFUNCTION("""COMPUTED_VALUE"""),"Kab. Wonogiri")</f>
        <v>Kab. Wonogiri</v>
      </c>
      <c r="M20" s="44">
        <f ca="1">IFERROR(__xludf.DUMMYFUNCTION("""COMPUTED_VALUE"""),154)</f>
        <v>154</v>
      </c>
      <c r="N20" s="38" t="str">
        <f ca="1">IFERROR(__xludf.DUMMYFUNCTION("""COMPUTED_VALUE"""),"Kab. Wonosobo")</f>
        <v>Kab. Wonosobo</v>
      </c>
      <c r="O20" s="44">
        <f ca="1">IFERROR(__xludf.DUMMYFUNCTION("""COMPUTED_VALUE"""),434.7)</f>
        <v>434.7</v>
      </c>
      <c r="X20" s="36" t="str">
        <f t="shared" si="3"/>
        <v>Klaten</v>
      </c>
    </row>
    <row r="21" spans="1:24" ht="12.75" customHeight="1">
      <c r="A21" s="37">
        <v>11</v>
      </c>
      <c r="B21" s="38" t="s">
        <v>32</v>
      </c>
      <c r="C21" s="40">
        <v>0</v>
      </c>
      <c r="D21" s="40">
        <v>0</v>
      </c>
      <c r="E21" s="40">
        <v>0</v>
      </c>
      <c r="F21" s="40">
        <f t="shared" si="0"/>
        <v>0</v>
      </c>
      <c r="G21" s="40">
        <v>0</v>
      </c>
      <c r="H21" s="41">
        <f t="shared" si="1"/>
        <v>0</v>
      </c>
      <c r="I21" s="41">
        <v>0</v>
      </c>
      <c r="J21" s="43">
        <f t="shared" si="2"/>
        <v>0</v>
      </c>
      <c r="L21" s="38" t="str">
        <f ca="1">IFERROR(__xludf.DUMMYFUNCTION("""COMPUTED_VALUE"""),"Kab. Brebes")</f>
        <v>Kab. Brebes</v>
      </c>
      <c r="M21" s="44">
        <f ca="1">IFERROR(__xludf.DUMMYFUNCTION("""COMPUTED_VALUE"""),72.47)</f>
        <v>72.47</v>
      </c>
      <c r="N21" s="38" t="str">
        <f ca="1">IFERROR(__xludf.DUMMYFUNCTION("""COMPUTED_VALUE"""),"Kab. Wonogiri")</f>
        <v>Kab. Wonogiri</v>
      </c>
      <c r="O21" s="44">
        <f ca="1">IFERROR(__xludf.DUMMYFUNCTION("""COMPUTED_VALUE"""),300.75)</f>
        <v>300.75</v>
      </c>
      <c r="X21" s="36" t="str">
        <f t="shared" si="3"/>
        <v>Sukoharjo</v>
      </c>
    </row>
    <row r="22" spans="1:24" ht="12.75" customHeight="1">
      <c r="A22" s="37">
        <v>12</v>
      </c>
      <c r="B22" s="38" t="s">
        <v>33</v>
      </c>
      <c r="C22" s="39">
        <v>3</v>
      </c>
      <c r="D22" s="40">
        <v>133</v>
      </c>
      <c r="E22" s="40">
        <v>18</v>
      </c>
      <c r="F22" s="40">
        <f t="shared" si="0"/>
        <v>154</v>
      </c>
      <c r="G22" s="40">
        <v>300.75</v>
      </c>
      <c r="H22" s="41">
        <f t="shared" si="1"/>
        <v>2261.2781954887218</v>
      </c>
      <c r="I22" s="41">
        <v>429</v>
      </c>
      <c r="J22" s="43">
        <f t="shared" si="2"/>
        <v>0.35897435897435898</v>
      </c>
      <c r="L22" s="38" t="str">
        <f ca="1">IFERROR(__xludf.DUMMYFUNCTION("""COMPUTED_VALUE"""),"Kab. Pemalang")</f>
        <v>Kab. Pemalang</v>
      </c>
      <c r="M22" s="44">
        <f ca="1">IFERROR(__xludf.DUMMYFUNCTION("""COMPUTED_VALUE"""),58.25)</f>
        <v>58.25</v>
      </c>
      <c r="N22" s="38" t="str">
        <f ca="1">IFERROR(__xludf.DUMMYFUNCTION("""COMPUTED_VALUE"""),"Kab. Pemalang")</f>
        <v>Kab. Pemalang</v>
      </c>
      <c r="O22" s="44">
        <f ca="1">IFERROR(__xludf.DUMMYFUNCTION("""COMPUTED_VALUE"""),133.65)</f>
        <v>133.65</v>
      </c>
      <c r="X22" s="36" t="str">
        <f t="shared" si="3"/>
        <v>Wonogiri</v>
      </c>
    </row>
    <row r="23" spans="1:24" ht="12.75" customHeight="1">
      <c r="A23" s="37">
        <v>13</v>
      </c>
      <c r="B23" s="38" t="s">
        <v>34</v>
      </c>
      <c r="C23" s="40">
        <v>0</v>
      </c>
      <c r="D23" s="40">
        <v>0</v>
      </c>
      <c r="E23" s="40">
        <v>0</v>
      </c>
      <c r="F23" s="40">
        <f t="shared" si="0"/>
        <v>0</v>
      </c>
      <c r="G23" s="40">
        <v>0</v>
      </c>
      <c r="H23" s="41">
        <f t="shared" si="1"/>
        <v>0</v>
      </c>
      <c r="I23" s="41">
        <v>0</v>
      </c>
      <c r="J23" s="43">
        <f t="shared" si="2"/>
        <v>0</v>
      </c>
      <c r="L23" s="38" t="str">
        <f ca="1">IFERROR(__xludf.DUMMYFUNCTION("""COMPUTED_VALUE"""),"Kab. Boyolali")</f>
        <v>Kab. Boyolali</v>
      </c>
      <c r="M23" s="44">
        <f ca="1">IFERROR(__xludf.DUMMYFUNCTION("""COMPUTED_VALUE"""),27.5)</f>
        <v>27.5</v>
      </c>
      <c r="N23" s="38" t="str">
        <f ca="1">IFERROR(__xludf.DUMMYFUNCTION("""COMPUTED_VALUE"""),"Kab. Klaten")</f>
        <v>Kab. Klaten</v>
      </c>
      <c r="O23" s="44">
        <f ca="1">IFERROR(__xludf.DUMMYFUNCTION("""COMPUTED_VALUE"""),25.52)</f>
        <v>25.52</v>
      </c>
      <c r="X23" s="36" t="str">
        <f t="shared" si="3"/>
        <v>Karanganyar</v>
      </c>
    </row>
    <row r="24" spans="1:24" ht="12.75" customHeight="1">
      <c r="A24" s="37">
        <v>14</v>
      </c>
      <c r="B24" s="38" t="s">
        <v>35</v>
      </c>
      <c r="C24" s="40">
        <v>0</v>
      </c>
      <c r="D24" s="40">
        <v>0</v>
      </c>
      <c r="E24" s="40">
        <v>0</v>
      </c>
      <c r="F24" s="40">
        <f t="shared" si="0"/>
        <v>0</v>
      </c>
      <c r="G24" s="40">
        <v>0</v>
      </c>
      <c r="H24" s="41">
        <f t="shared" si="1"/>
        <v>0</v>
      </c>
      <c r="I24" s="41">
        <v>0</v>
      </c>
      <c r="J24" s="43">
        <f t="shared" si="2"/>
        <v>0</v>
      </c>
      <c r="L24" s="38" t="str">
        <f ca="1">IFERROR(__xludf.DUMMYFUNCTION("""COMPUTED_VALUE"""),"Kab. Klaten")</f>
        <v>Kab. Klaten</v>
      </c>
      <c r="M24" s="44">
        <f ca="1">IFERROR(__xludf.DUMMYFUNCTION("""COMPUTED_VALUE"""),18.74)</f>
        <v>18.739999999999998</v>
      </c>
      <c r="N24" s="38" t="str">
        <f ca="1">IFERROR(__xludf.DUMMYFUNCTION("""COMPUTED_VALUE"""),"Kab. Boyolali")</f>
        <v>Kab. Boyolali</v>
      </c>
      <c r="O24" s="44">
        <f ca="1">IFERROR(__xludf.DUMMYFUNCTION("""COMPUTED_VALUE"""),3.99)</f>
        <v>3.99</v>
      </c>
      <c r="X24" s="36" t="str">
        <f t="shared" si="3"/>
        <v>Sragen</v>
      </c>
    </row>
    <row r="25" spans="1:24" ht="12.75" customHeight="1">
      <c r="A25" s="37">
        <v>15</v>
      </c>
      <c r="B25" s="38" t="s">
        <v>36</v>
      </c>
      <c r="C25" s="40">
        <v>0</v>
      </c>
      <c r="D25" s="40">
        <v>0</v>
      </c>
      <c r="E25" s="40">
        <v>0</v>
      </c>
      <c r="F25" s="40">
        <f t="shared" si="0"/>
        <v>0</v>
      </c>
      <c r="G25" s="40">
        <v>0</v>
      </c>
      <c r="H25" s="41">
        <f t="shared" si="1"/>
        <v>0</v>
      </c>
      <c r="I25" s="41">
        <v>0</v>
      </c>
      <c r="J25" s="43">
        <f t="shared" si="2"/>
        <v>0</v>
      </c>
      <c r="L25" s="38"/>
      <c r="M25" s="44"/>
      <c r="N25" s="38"/>
      <c r="O25" s="44"/>
      <c r="X25" s="36" t="str">
        <f t="shared" si="3"/>
        <v>Grobogan</v>
      </c>
    </row>
    <row r="26" spans="1:24" ht="12.75" customHeight="1">
      <c r="A26" s="37">
        <v>16</v>
      </c>
      <c r="B26" s="38" t="s">
        <v>37</v>
      </c>
      <c r="C26" s="40">
        <v>0</v>
      </c>
      <c r="D26" s="40">
        <v>0</v>
      </c>
      <c r="E26" s="40">
        <v>0</v>
      </c>
      <c r="F26" s="40">
        <f t="shared" si="0"/>
        <v>0</v>
      </c>
      <c r="G26" s="40">
        <v>0</v>
      </c>
      <c r="H26" s="41">
        <f t="shared" si="1"/>
        <v>0</v>
      </c>
      <c r="I26" s="41">
        <v>0</v>
      </c>
      <c r="J26" s="43">
        <f t="shared" si="2"/>
        <v>0</v>
      </c>
      <c r="L26" s="38"/>
      <c r="M26" s="44"/>
      <c r="N26" s="38"/>
      <c r="O26" s="44"/>
      <c r="X26" s="36" t="str">
        <f t="shared" si="3"/>
        <v>Blora</v>
      </c>
    </row>
    <row r="27" spans="1:24" ht="12.75" customHeight="1">
      <c r="A27" s="37">
        <v>17</v>
      </c>
      <c r="B27" s="38" t="s">
        <v>38</v>
      </c>
      <c r="C27" s="40">
        <v>0</v>
      </c>
      <c r="D27" s="40">
        <v>0</v>
      </c>
      <c r="E27" s="40">
        <v>0</v>
      </c>
      <c r="F27" s="40">
        <f t="shared" si="0"/>
        <v>0</v>
      </c>
      <c r="G27" s="40">
        <v>0</v>
      </c>
      <c r="H27" s="41">
        <f t="shared" si="1"/>
        <v>0</v>
      </c>
      <c r="I27" s="41">
        <v>0</v>
      </c>
      <c r="J27" s="43">
        <f t="shared" si="2"/>
        <v>0</v>
      </c>
      <c r="L27" s="38"/>
      <c r="M27" s="44"/>
      <c r="N27" s="38"/>
      <c r="O27" s="44"/>
      <c r="X27" s="36" t="str">
        <f t="shared" si="3"/>
        <v>Rembang</v>
      </c>
    </row>
    <row r="28" spans="1:24" ht="12.75" customHeight="1">
      <c r="A28" s="37">
        <v>18</v>
      </c>
      <c r="B28" s="45" t="s">
        <v>39</v>
      </c>
      <c r="C28" s="40">
        <v>0</v>
      </c>
      <c r="D28" s="40">
        <v>0</v>
      </c>
      <c r="E28" s="40">
        <v>0</v>
      </c>
      <c r="F28" s="40">
        <f t="shared" si="0"/>
        <v>0</v>
      </c>
      <c r="G28" s="40">
        <v>0</v>
      </c>
      <c r="H28" s="41">
        <f t="shared" si="1"/>
        <v>0</v>
      </c>
      <c r="I28" s="41">
        <v>0</v>
      </c>
      <c r="J28" s="43">
        <f t="shared" si="2"/>
        <v>0</v>
      </c>
      <c r="L28" s="38"/>
      <c r="M28" s="44"/>
      <c r="N28" s="38"/>
      <c r="O28" s="44"/>
      <c r="X28" s="36" t="str">
        <f t="shared" si="3"/>
        <v>Pati</v>
      </c>
    </row>
    <row r="29" spans="1:24" ht="12.75" customHeight="1">
      <c r="A29" s="37">
        <v>19</v>
      </c>
      <c r="B29" s="45" t="s">
        <v>40</v>
      </c>
      <c r="C29" s="39">
        <v>0</v>
      </c>
      <c r="D29" s="39">
        <v>0</v>
      </c>
      <c r="E29" s="39">
        <v>0</v>
      </c>
      <c r="F29" s="40">
        <f t="shared" si="0"/>
        <v>0</v>
      </c>
      <c r="G29" s="39">
        <v>0</v>
      </c>
      <c r="H29" s="39">
        <f t="shared" si="1"/>
        <v>0</v>
      </c>
      <c r="I29" s="39">
        <v>0</v>
      </c>
      <c r="J29" s="39">
        <f t="shared" si="2"/>
        <v>0</v>
      </c>
      <c r="L29" s="38"/>
      <c r="M29" s="44"/>
      <c r="N29" s="38"/>
      <c r="O29" s="44"/>
      <c r="X29" s="36" t="str">
        <f t="shared" si="3"/>
        <v>Kudus</v>
      </c>
    </row>
    <row r="30" spans="1:24" ht="12.75" customHeight="1">
      <c r="A30" s="37">
        <v>20</v>
      </c>
      <c r="B30" s="45" t="s">
        <v>41</v>
      </c>
      <c r="C30" s="40">
        <v>0</v>
      </c>
      <c r="D30" s="40">
        <v>0</v>
      </c>
      <c r="E30" s="40">
        <v>0</v>
      </c>
      <c r="F30" s="40">
        <f t="shared" si="0"/>
        <v>0</v>
      </c>
      <c r="G30" s="40">
        <v>0</v>
      </c>
      <c r="H30" s="41">
        <f t="shared" si="1"/>
        <v>0</v>
      </c>
      <c r="I30" s="41">
        <v>0</v>
      </c>
      <c r="J30" s="43">
        <f t="shared" si="2"/>
        <v>0</v>
      </c>
      <c r="L30" s="38"/>
      <c r="M30" s="44"/>
      <c r="N30" s="38"/>
      <c r="O30" s="44"/>
      <c r="X30" s="36" t="str">
        <f t="shared" si="3"/>
        <v>Jepara</v>
      </c>
    </row>
    <row r="31" spans="1:24" ht="12.75" customHeight="1">
      <c r="A31" s="37">
        <v>21</v>
      </c>
      <c r="B31" s="45" t="s">
        <v>42</v>
      </c>
      <c r="C31" s="39">
        <v>0</v>
      </c>
      <c r="D31" s="39">
        <v>0</v>
      </c>
      <c r="E31" s="39">
        <v>0</v>
      </c>
      <c r="F31" s="40">
        <f t="shared" si="0"/>
        <v>0</v>
      </c>
      <c r="G31" s="39">
        <v>0</v>
      </c>
      <c r="H31" s="41">
        <f t="shared" si="1"/>
        <v>0</v>
      </c>
      <c r="I31" s="39">
        <v>0</v>
      </c>
      <c r="J31" s="43">
        <f t="shared" si="2"/>
        <v>0</v>
      </c>
      <c r="L31" s="38"/>
      <c r="M31" s="44"/>
      <c r="N31" s="38"/>
      <c r="O31" s="44"/>
      <c r="X31" s="36" t="str">
        <f t="shared" si="3"/>
        <v>Demak</v>
      </c>
    </row>
    <row r="32" spans="1:24" ht="12.75" customHeight="1">
      <c r="A32" s="37">
        <v>22</v>
      </c>
      <c r="B32" s="45" t="s">
        <v>43</v>
      </c>
      <c r="C32" s="39">
        <v>37.299999999999997</v>
      </c>
      <c r="D32" s="39">
        <v>625.91</v>
      </c>
      <c r="E32" s="39">
        <v>33.5</v>
      </c>
      <c r="F32" s="40">
        <f t="shared" si="0"/>
        <v>696.70999999999992</v>
      </c>
      <c r="G32" s="39">
        <v>1897.44</v>
      </c>
      <c r="H32" s="41">
        <f t="shared" si="1"/>
        <v>3031.4901503411038</v>
      </c>
      <c r="I32" s="42">
        <v>3644</v>
      </c>
      <c r="J32" s="43">
        <f t="shared" si="2"/>
        <v>0.19119374313940724</v>
      </c>
      <c r="L32" s="38"/>
      <c r="M32" s="44"/>
      <c r="N32" s="38"/>
      <c r="O32" s="44"/>
      <c r="X32" s="36" t="str">
        <f t="shared" si="3"/>
        <v>Semarang</v>
      </c>
    </row>
    <row r="33" spans="1:24" ht="12.75" customHeight="1">
      <c r="A33" s="37">
        <v>23</v>
      </c>
      <c r="B33" s="45" t="s">
        <v>44</v>
      </c>
      <c r="C33" s="39">
        <v>0</v>
      </c>
      <c r="D33" s="39">
        <v>0</v>
      </c>
      <c r="E33" s="39">
        <v>0</v>
      </c>
      <c r="F33" s="40">
        <f t="shared" si="0"/>
        <v>0</v>
      </c>
      <c r="G33" s="39">
        <v>0</v>
      </c>
      <c r="H33" s="41">
        <f t="shared" si="1"/>
        <v>0</v>
      </c>
      <c r="I33" s="42">
        <v>0</v>
      </c>
      <c r="J33" s="43">
        <f t="shared" si="2"/>
        <v>0</v>
      </c>
      <c r="L33" s="38"/>
      <c r="M33" s="44"/>
      <c r="N33" s="38"/>
      <c r="O33" s="44"/>
      <c r="X33" s="36" t="str">
        <f t="shared" si="3"/>
        <v>Temanggung</v>
      </c>
    </row>
    <row r="34" spans="1:24" ht="12.75" customHeight="1">
      <c r="A34" s="37">
        <v>24</v>
      </c>
      <c r="B34" s="45" t="s">
        <v>45</v>
      </c>
      <c r="C34" s="39">
        <v>0</v>
      </c>
      <c r="D34" s="39">
        <v>0</v>
      </c>
      <c r="E34" s="39">
        <v>0</v>
      </c>
      <c r="F34" s="40">
        <f t="shared" si="0"/>
        <v>0</v>
      </c>
      <c r="G34" s="39">
        <v>0</v>
      </c>
      <c r="H34" s="41">
        <f t="shared" si="1"/>
        <v>0</v>
      </c>
      <c r="I34" s="42">
        <v>0</v>
      </c>
      <c r="J34" s="43">
        <f t="shared" si="2"/>
        <v>0</v>
      </c>
      <c r="L34" s="38"/>
      <c r="M34" s="44"/>
      <c r="N34" s="38"/>
      <c r="O34" s="44"/>
      <c r="X34" s="36" t="str">
        <f t="shared" si="3"/>
        <v>Kendal</v>
      </c>
    </row>
    <row r="35" spans="1:24" ht="12.75" customHeight="1">
      <c r="A35" s="37">
        <v>25</v>
      </c>
      <c r="B35" s="45" t="s">
        <v>46</v>
      </c>
      <c r="C35" s="40">
        <v>0</v>
      </c>
      <c r="D35" s="40">
        <v>0</v>
      </c>
      <c r="E35" s="40">
        <v>0</v>
      </c>
      <c r="F35" s="40">
        <f t="shared" si="0"/>
        <v>0</v>
      </c>
      <c r="G35" s="40">
        <v>0</v>
      </c>
      <c r="H35" s="41">
        <f t="shared" si="1"/>
        <v>0</v>
      </c>
      <c r="I35" s="41">
        <v>0</v>
      </c>
      <c r="J35" s="43">
        <f t="shared" si="2"/>
        <v>0</v>
      </c>
      <c r="L35" s="38"/>
      <c r="M35" s="44"/>
      <c r="N35" s="38"/>
      <c r="O35" s="44"/>
      <c r="X35" s="36" t="str">
        <f t="shared" si="3"/>
        <v>Batang</v>
      </c>
    </row>
    <row r="36" spans="1:24" ht="12.75" customHeight="1">
      <c r="A36" s="37">
        <v>26</v>
      </c>
      <c r="B36" s="45" t="s">
        <v>47</v>
      </c>
      <c r="C36" s="40">
        <v>0</v>
      </c>
      <c r="D36" s="40">
        <v>0</v>
      </c>
      <c r="E36" s="40">
        <v>0</v>
      </c>
      <c r="F36" s="40">
        <f t="shared" si="0"/>
        <v>0</v>
      </c>
      <c r="G36" s="40">
        <v>0</v>
      </c>
      <c r="H36" s="41">
        <f t="shared" si="1"/>
        <v>0</v>
      </c>
      <c r="I36" s="41">
        <v>0</v>
      </c>
      <c r="J36" s="43">
        <f t="shared" si="2"/>
        <v>0</v>
      </c>
      <c r="L36" s="38"/>
      <c r="M36" s="44"/>
      <c r="N36" s="38"/>
      <c r="O36" s="44"/>
      <c r="X36" s="36" t="str">
        <f t="shared" si="3"/>
        <v>Pekalongan</v>
      </c>
    </row>
    <row r="37" spans="1:24" ht="12.75" customHeight="1">
      <c r="A37" s="37">
        <v>27</v>
      </c>
      <c r="B37" s="45" t="s">
        <v>48</v>
      </c>
      <c r="C37" s="39">
        <v>9</v>
      </c>
      <c r="D37" s="40">
        <v>37</v>
      </c>
      <c r="E37" s="40">
        <v>12.25</v>
      </c>
      <c r="F37" s="40">
        <f t="shared" si="0"/>
        <v>58.25</v>
      </c>
      <c r="G37" s="40">
        <v>133.65</v>
      </c>
      <c r="H37" s="41">
        <f t="shared" si="1"/>
        <v>3612.1621621621625</v>
      </c>
      <c r="I37" s="41">
        <v>195</v>
      </c>
      <c r="J37" s="43">
        <f t="shared" si="2"/>
        <v>0.29871794871794871</v>
      </c>
      <c r="L37" s="38"/>
      <c r="M37" s="44"/>
      <c r="N37" s="38"/>
      <c r="O37" s="44"/>
      <c r="X37" s="36" t="str">
        <f t="shared" si="3"/>
        <v>Pemalang</v>
      </c>
    </row>
    <row r="38" spans="1:24" ht="12.75" customHeight="1">
      <c r="A38" s="37">
        <v>28</v>
      </c>
      <c r="B38" s="45" t="s">
        <v>49</v>
      </c>
      <c r="C38" s="39">
        <v>0</v>
      </c>
      <c r="D38" s="39">
        <v>0</v>
      </c>
      <c r="E38" s="39">
        <v>0</v>
      </c>
      <c r="F38" s="40">
        <f t="shared" si="0"/>
        <v>0</v>
      </c>
      <c r="G38" s="39">
        <v>0</v>
      </c>
      <c r="H38" s="41">
        <f t="shared" si="1"/>
        <v>0</v>
      </c>
      <c r="I38" s="39">
        <v>0</v>
      </c>
      <c r="J38" s="43">
        <f t="shared" si="2"/>
        <v>0</v>
      </c>
      <c r="L38" s="38"/>
      <c r="M38" s="44"/>
      <c r="N38" s="38"/>
      <c r="O38" s="44"/>
      <c r="X38" s="36" t="str">
        <f t="shared" si="3"/>
        <v>Tegal</v>
      </c>
    </row>
    <row r="39" spans="1:24" ht="12.75" customHeight="1">
      <c r="A39" s="37">
        <v>29</v>
      </c>
      <c r="B39" s="45" t="s">
        <v>50</v>
      </c>
      <c r="C39" s="39">
        <v>3.72</v>
      </c>
      <c r="D39" s="39">
        <v>66.75</v>
      </c>
      <c r="E39" s="39">
        <v>2</v>
      </c>
      <c r="F39" s="40">
        <f t="shared" si="0"/>
        <v>72.47</v>
      </c>
      <c r="G39" s="39">
        <v>687.88</v>
      </c>
      <c r="H39" s="41">
        <f t="shared" si="1"/>
        <v>10305.318352059925</v>
      </c>
      <c r="I39" s="42">
        <v>1025</v>
      </c>
      <c r="J39" s="43">
        <f t="shared" si="2"/>
        <v>7.0702439024390246E-2</v>
      </c>
      <c r="L39" s="38"/>
      <c r="M39" s="44"/>
      <c r="N39" s="38"/>
      <c r="O39" s="44"/>
      <c r="X39" s="36" t="str">
        <f t="shared" si="3"/>
        <v>Brebes</v>
      </c>
    </row>
    <row r="40" spans="1:24" ht="12.75" customHeight="1">
      <c r="A40" s="37">
        <v>30</v>
      </c>
      <c r="B40" s="45" t="s">
        <v>51</v>
      </c>
      <c r="C40" s="39">
        <v>0</v>
      </c>
      <c r="D40" s="39">
        <v>0</v>
      </c>
      <c r="E40" s="39">
        <v>0</v>
      </c>
      <c r="F40" s="40">
        <f t="shared" si="0"/>
        <v>0</v>
      </c>
      <c r="G40" s="39">
        <v>0</v>
      </c>
      <c r="H40" s="39">
        <f t="shared" si="1"/>
        <v>0</v>
      </c>
      <c r="I40" s="39">
        <v>0</v>
      </c>
      <c r="J40" s="39">
        <f t="shared" si="2"/>
        <v>0</v>
      </c>
      <c r="L40" s="38"/>
      <c r="M40" s="44"/>
      <c r="N40" s="38"/>
      <c r="O40" s="44"/>
      <c r="X40" s="36" t="str">
        <f t="shared" si="3"/>
        <v>Kota Surakarta</v>
      </c>
    </row>
    <row r="41" spans="1:24" ht="12.75" customHeight="1">
      <c r="A41" s="37">
        <v>31</v>
      </c>
      <c r="B41" s="45" t="s">
        <v>52</v>
      </c>
      <c r="C41" s="39">
        <v>0</v>
      </c>
      <c r="D41" s="39">
        <v>0</v>
      </c>
      <c r="E41" s="39">
        <v>0</v>
      </c>
      <c r="F41" s="40">
        <f t="shared" si="0"/>
        <v>0</v>
      </c>
      <c r="G41" s="39">
        <v>0</v>
      </c>
      <c r="H41" s="39">
        <f t="shared" si="1"/>
        <v>0</v>
      </c>
      <c r="I41" s="39">
        <v>0</v>
      </c>
      <c r="J41" s="39">
        <f t="shared" si="2"/>
        <v>0</v>
      </c>
      <c r="L41" s="38"/>
      <c r="M41" s="44"/>
      <c r="N41" s="38"/>
      <c r="O41" s="44"/>
      <c r="X41" s="36" t="str">
        <f t="shared" si="3"/>
        <v>Kota Salatiga</v>
      </c>
    </row>
    <row r="42" spans="1:24" ht="12.75" customHeight="1">
      <c r="A42" s="46">
        <v>32</v>
      </c>
      <c r="B42" s="47" t="s">
        <v>53</v>
      </c>
      <c r="C42" s="48">
        <v>0</v>
      </c>
      <c r="D42" s="48">
        <v>0</v>
      </c>
      <c r="E42" s="48">
        <v>0</v>
      </c>
      <c r="F42" s="49">
        <f t="shared" si="0"/>
        <v>0</v>
      </c>
      <c r="G42" s="48">
        <v>0</v>
      </c>
      <c r="H42" s="48">
        <f t="shared" si="1"/>
        <v>0</v>
      </c>
      <c r="I42" s="48">
        <v>0</v>
      </c>
      <c r="J42" s="48">
        <f t="shared" si="2"/>
        <v>0</v>
      </c>
      <c r="L42" s="50"/>
      <c r="M42" s="44"/>
      <c r="N42" s="50"/>
      <c r="O42" s="44"/>
      <c r="X42" s="36" t="str">
        <f t="shared" si="3"/>
        <v>Kota Semarang</v>
      </c>
    </row>
    <row r="43" spans="1:24" ht="12.75" customHeight="1">
      <c r="A43" s="51" t="s">
        <v>54</v>
      </c>
      <c r="B43" s="52"/>
      <c r="C43" s="53">
        <f t="shared" ref="C43:E43" si="4">SUM(C$11:C$42)</f>
        <v>338.92</v>
      </c>
      <c r="D43" s="53">
        <f t="shared" si="4"/>
        <v>22390.15</v>
      </c>
      <c r="E43" s="53">
        <f t="shared" si="4"/>
        <v>605.29999999999995</v>
      </c>
      <c r="F43" s="53">
        <f>C43+D43+E43</f>
        <v>23334.37</v>
      </c>
      <c r="G43" s="53">
        <f>SUM(G$11:G$42)</f>
        <v>198029.31999999998</v>
      </c>
      <c r="H43" s="54">
        <f>G43*1000/D43</f>
        <v>8844.4838466915116</v>
      </c>
      <c r="I43" s="54">
        <f>SUM(I$11:I$42)</f>
        <v>103351</v>
      </c>
      <c r="J43" s="55">
        <f t="shared" si="2"/>
        <v>0.22577788313610897</v>
      </c>
      <c r="L43" s="56"/>
      <c r="M43" s="44"/>
      <c r="N43" s="56"/>
      <c r="O43" s="44"/>
    </row>
    <row r="44" spans="1:24" ht="12.75" customHeight="1">
      <c r="A44" s="51" t="s">
        <v>55</v>
      </c>
      <c r="B44" s="52"/>
      <c r="C44" s="53">
        <v>333.42</v>
      </c>
      <c r="D44" s="53">
        <v>22533.800000000003</v>
      </c>
      <c r="E44" s="53">
        <v>564.26</v>
      </c>
      <c r="F44" s="53">
        <v>23431.48</v>
      </c>
      <c r="G44" s="53">
        <v>200255.30000000005</v>
      </c>
      <c r="H44" s="54">
        <v>8886.885478703105</v>
      </c>
      <c r="I44" s="54">
        <v>102971</v>
      </c>
      <c r="J44" s="55">
        <v>0.22755416573598392</v>
      </c>
      <c r="L44" s="56"/>
      <c r="M44" s="44"/>
      <c r="N44" s="56"/>
      <c r="O44" s="44"/>
    </row>
    <row r="45" spans="1:24" ht="12.75" customHeight="1">
      <c r="A45" s="51" t="s">
        <v>56</v>
      </c>
      <c r="B45" s="52"/>
      <c r="C45" s="53">
        <v>340.17</v>
      </c>
      <c r="D45" s="53">
        <v>22621.279999999999</v>
      </c>
      <c r="E45" s="53">
        <v>543.74</v>
      </c>
      <c r="F45" s="53">
        <v>23505.19</v>
      </c>
      <c r="G45" s="53">
        <v>208595.81000000003</v>
      </c>
      <c r="H45" s="54">
        <v>9221.2204614416187</v>
      </c>
      <c r="I45" s="54">
        <v>102847</v>
      </c>
      <c r="J45" s="55">
        <v>0.22854521765340749</v>
      </c>
      <c r="L45" s="56"/>
      <c r="M45" s="44"/>
      <c r="N45" s="56"/>
      <c r="O45" s="44"/>
    </row>
    <row r="46" spans="1:24" ht="12.75" customHeight="1">
      <c r="A46" s="51" t="s">
        <v>57</v>
      </c>
      <c r="B46" s="52"/>
      <c r="C46" s="53">
        <v>215.67000000000002</v>
      </c>
      <c r="D46" s="53">
        <v>22698.18</v>
      </c>
      <c r="E46" s="53">
        <v>571.84</v>
      </c>
      <c r="F46" s="53">
        <v>23485.69</v>
      </c>
      <c r="G46" s="53">
        <v>202656.80999999997</v>
      </c>
      <c r="H46" s="54">
        <v>8928.3286148933512</v>
      </c>
      <c r="I46" s="54">
        <v>109299</v>
      </c>
      <c r="J46" s="55">
        <v>0.21487561642832961</v>
      </c>
      <c r="L46" s="56"/>
      <c r="M46" s="44"/>
      <c r="N46" s="56"/>
      <c r="O46" s="44"/>
    </row>
    <row r="47" spans="1:24" ht="12.75" customHeight="1">
      <c r="A47" s="51" t="s">
        <v>58</v>
      </c>
      <c r="B47" s="52"/>
      <c r="C47" s="53">
        <v>145.75000000000003</v>
      </c>
      <c r="D47" s="53">
        <v>22744.3</v>
      </c>
      <c r="E47" s="53">
        <v>583.96999999999991</v>
      </c>
      <c r="F47" s="53">
        <v>23474.02</v>
      </c>
      <c r="G47" s="53">
        <v>209351.73152300002</v>
      </c>
      <c r="H47" s="54">
        <v>9204.5801155894023</v>
      </c>
      <c r="I47" s="54">
        <v>107977.37204420436</v>
      </c>
      <c r="J47" s="55">
        <v>0.21739758576815593</v>
      </c>
      <c r="L47" s="56"/>
      <c r="M47" s="44"/>
      <c r="N47" s="56"/>
      <c r="O47" s="44"/>
    </row>
    <row r="48" spans="1:24" ht="12.75" customHeight="1">
      <c r="A48" s="51" t="s">
        <v>59</v>
      </c>
      <c r="B48" s="52"/>
      <c r="C48" s="53">
        <v>223.85</v>
      </c>
      <c r="D48" s="53">
        <v>22590.600000000002</v>
      </c>
      <c r="E48" s="53">
        <v>581.41</v>
      </c>
      <c r="F48" s="53">
        <v>23395.86</v>
      </c>
      <c r="G48" s="53">
        <v>204195.98518900003</v>
      </c>
      <c r="H48" s="54">
        <v>9038.9801594025848</v>
      </c>
      <c r="I48" s="54">
        <v>109437</v>
      </c>
      <c r="J48" s="55">
        <v>0.21378382082842184</v>
      </c>
      <c r="L48" s="56"/>
      <c r="M48" s="44"/>
      <c r="N48" s="56"/>
      <c r="O48" s="44"/>
    </row>
    <row r="49" spans="1:15" ht="12.75" hidden="1" customHeight="1">
      <c r="A49" s="51" t="s">
        <v>60</v>
      </c>
      <c r="B49" s="52"/>
      <c r="C49" s="53">
        <v>308.80999999999995</v>
      </c>
      <c r="D49" s="53">
        <v>22755.42</v>
      </c>
      <c r="E49" s="53">
        <v>504.65999999999991</v>
      </c>
      <c r="F49" s="53">
        <v>23568.89</v>
      </c>
      <c r="G49" s="53">
        <v>204950.34233299995</v>
      </c>
      <c r="H49" s="54">
        <v>9006.6604937636821</v>
      </c>
      <c r="I49" s="54">
        <v>109727</v>
      </c>
      <c r="J49" s="55">
        <v>0.21479572028762292</v>
      </c>
      <c r="L49" s="56"/>
      <c r="M49" s="44"/>
      <c r="N49" s="56"/>
      <c r="O49" s="44"/>
    </row>
    <row r="50" spans="1:15" ht="12.75" hidden="1" customHeight="1">
      <c r="A50" s="51" t="s">
        <v>61</v>
      </c>
      <c r="B50" s="52"/>
      <c r="C50" s="53">
        <v>108.98</v>
      </c>
      <c r="D50" s="53">
        <v>23092.01</v>
      </c>
      <c r="E50" s="53">
        <v>470.81</v>
      </c>
      <c r="F50" s="53">
        <f t="shared" ref="F50:F58" si="5">C50+D50+E50</f>
        <v>23671.8</v>
      </c>
      <c r="G50" s="53">
        <v>184769.39899999998</v>
      </c>
      <c r="H50" s="54">
        <v>8001.4428800264677</v>
      </c>
      <c r="I50" s="54">
        <v>109758</v>
      </c>
      <c r="J50" s="55">
        <f t="shared" ref="J50:J58" si="6">IF(I50=0,0,F50/I50)</f>
        <v>0.21567266167386431</v>
      </c>
    </row>
    <row r="51" spans="1:15" ht="12.75" hidden="1" customHeight="1">
      <c r="A51" s="51" t="s">
        <v>62</v>
      </c>
      <c r="B51" s="52"/>
      <c r="C51" s="53">
        <v>102.23</v>
      </c>
      <c r="D51" s="53">
        <v>23085.899999999998</v>
      </c>
      <c r="E51" s="53">
        <v>476.56</v>
      </c>
      <c r="F51" s="53">
        <f t="shared" si="5"/>
        <v>23664.69</v>
      </c>
      <c r="G51" s="53">
        <v>200126.7</v>
      </c>
      <c r="H51" s="54">
        <v>8668.7848426961918</v>
      </c>
      <c r="I51" s="54">
        <v>109062</v>
      </c>
      <c r="J51" s="55">
        <f t="shared" si="6"/>
        <v>0.21698382571381414</v>
      </c>
    </row>
    <row r="52" spans="1:15" ht="12.75" hidden="1" customHeight="1">
      <c r="A52" s="51" t="s">
        <v>63</v>
      </c>
      <c r="B52" s="52"/>
      <c r="C52" s="53">
        <v>317.73</v>
      </c>
      <c r="D52" s="53">
        <v>23140.87</v>
      </c>
      <c r="E52" s="53">
        <v>458.03</v>
      </c>
      <c r="F52" s="53">
        <f t="shared" si="5"/>
        <v>23916.629999999997</v>
      </c>
      <c r="G52" s="53">
        <v>214323.03999999998</v>
      </c>
      <c r="H52" s="54">
        <v>9261.6673443997552</v>
      </c>
      <c r="I52" s="54">
        <v>110583</v>
      </c>
      <c r="J52" s="55">
        <f t="shared" si="6"/>
        <v>0.21627763761156776</v>
      </c>
    </row>
    <row r="53" spans="1:15" ht="12.75" hidden="1" customHeight="1">
      <c r="A53" s="51" t="s">
        <v>64</v>
      </c>
      <c r="B53" s="52"/>
      <c r="C53" s="53">
        <v>681.6400000000001</v>
      </c>
      <c r="D53" s="53">
        <v>22624.420000000002</v>
      </c>
      <c r="E53" s="53">
        <v>488</v>
      </c>
      <c r="F53" s="53">
        <f t="shared" si="5"/>
        <v>23794.06</v>
      </c>
      <c r="G53" s="53">
        <v>214832.40999999995</v>
      </c>
      <c r="H53" s="54">
        <v>9495.5985612006825</v>
      </c>
      <c r="I53" s="54">
        <v>110727</v>
      </c>
      <c r="J53" s="55">
        <f t="shared" si="6"/>
        <v>0.21488941269970288</v>
      </c>
    </row>
    <row r="54" spans="1:15" ht="12.75" hidden="1" customHeight="1">
      <c r="A54" s="51" t="s">
        <v>65</v>
      </c>
      <c r="B54" s="52"/>
      <c r="C54" s="57">
        <v>304.02999999999997</v>
      </c>
      <c r="D54" s="57">
        <v>22911.09</v>
      </c>
      <c r="E54" s="57">
        <v>622.98</v>
      </c>
      <c r="F54" s="53">
        <f t="shared" si="5"/>
        <v>23838.1</v>
      </c>
      <c r="G54" s="57">
        <v>220914.93</v>
      </c>
      <c r="H54" s="54">
        <v>9642</v>
      </c>
      <c r="I54" s="58">
        <v>124769</v>
      </c>
      <c r="J54" s="55">
        <f t="shared" si="6"/>
        <v>0.19105787495291296</v>
      </c>
    </row>
    <row r="55" spans="1:15" ht="12.75" hidden="1" customHeight="1">
      <c r="A55" s="51" t="s">
        <v>66</v>
      </c>
      <c r="B55" s="52"/>
      <c r="C55" s="57">
        <v>212.23</v>
      </c>
      <c r="D55" s="57">
        <v>23206.86</v>
      </c>
      <c r="E55" s="57">
        <v>487.02</v>
      </c>
      <c r="F55" s="53">
        <f t="shared" si="5"/>
        <v>23906.11</v>
      </c>
      <c r="G55" s="59">
        <v>223669.35</v>
      </c>
      <c r="H55" s="58">
        <v>9638.0703809132301</v>
      </c>
      <c r="I55" s="58">
        <v>124876.33900000001</v>
      </c>
      <c r="J55" s="55">
        <f t="shared" si="6"/>
        <v>0.19143826758085852</v>
      </c>
    </row>
    <row r="56" spans="1:15" ht="12.75" hidden="1" customHeight="1">
      <c r="A56" s="51" t="s">
        <v>67</v>
      </c>
      <c r="B56" s="52"/>
      <c r="C56" s="53">
        <v>253.5</v>
      </c>
      <c r="D56" s="53">
        <v>22770.550000000003</v>
      </c>
      <c r="E56" s="53">
        <v>509.88</v>
      </c>
      <c r="F56" s="53">
        <f t="shared" si="5"/>
        <v>23533.930000000004</v>
      </c>
      <c r="G56" s="60">
        <v>219369.48100000003</v>
      </c>
      <c r="H56" s="54">
        <v>9633.9122682587804</v>
      </c>
      <c r="I56" s="61">
        <v>121701</v>
      </c>
      <c r="J56" s="55">
        <f t="shared" si="6"/>
        <v>0.19337499281024809</v>
      </c>
    </row>
    <row r="57" spans="1:15" ht="12.75" hidden="1" customHeight="1">
      <c r="A57" s="62" t="s">
        <v>68</v>
      </c>
      <c r="B57" s="52"/>
      <c r="C57" s="53">
        <v>0</v>
      </c>
      <c r="D57" s="53">
        <v>22211.73</v>
      </c>
      <c r="E57" s="53">
        <v>552.01</v>
      </c>
      <c r="F57" s="53">
        <f t="shared" si="5"/>
        <v>22763.739999999998</v>
      </c>
      <c r="G57" s="60">
        <v>216886.59</v>
      </c>
      <c r="H57" s="54">
        <v>9765</v>
      </c>
      <c r="I57" s="61">
        <v>113975</v>
      </c>
      <c r="J57" s="55">
        <f t="shared" si="6"/>
        <v>0.1997257293266067</v>
      </c>
    </row>
    <row r="58" spans="1:15" ht="12.75" hidden="1" customHeight="1">
      <c r="A58" s="62" t="s">
        <v>69</v>
      </c>
      <c r="B58" s="52"/>
      <c r="C58" s="53">
        <v>32.35</v>
      </c>
      <c r="D58" s="53">
        <v>31510.66</v>
      </c>
      <c r="E58" s="53">
        <v>375.24</v>
      </c>
      <c r="F58" s="53">
        <f t="shared" si="5"/>
        <v>31918.25</v>
      </c>
      <c r="G58" s="60">
        <v>220343.81</v>
      </c>
      <c r="H58" s="54">
        <v>10243</v>
      </c>
      <c r="I58" s="61">
        <v>110528</v>
      </c>
      <c r="J58" s="55">
        <f t="shared" si="6"/>
        <v>0.28877976621308626</v>
      </c>
    </row>
    <row r="59" spans="1:15" ht="12.75" customHeight="1">
      <c r="A59" s="63"/>
      <c r="B59" s="63" t="s">
        <v>70</v>
      </c>
      <c r="C59" s="64"/>
      <c r="D59" s="64"/>
      <c r="E59" s="64"/>
      <c r="F59" s="64"/>
      <c r="G59" s="65"/>
      <c r="H59" s="64"/>
      <c r="I59" s="66"/>
      <c r="J59" s="66"/>
    </row>
    <row r="60" spans="1:15" ht="12.75" customHeight="1">
      <c r="O60" s="67" t="s">
        <v>71</v>
      </c>
    </row>
    <row r="61" spans="1:15" ht="12.75" customHeight="1">
      <c r="H61" s="67" t="s">
        <v>72</v>
      </c>
    </row>
    <row r="62" spans="1:15" ht="12.75" customHeight="1"/>
    <row r="63" spans="1:15" ht="12.75" customHeight="1">
      <c r="B63" s="68" t="s">
        <v>73</v>
      </c>
      <c r="C63" s="68" t="s">
        <v>74</v>
      </c>
    </row>
    <row r="64" spans="1:15" ht="12.75" customHeight="1">
      <c r="B64" s="68" t="str">
        <f t="array" aca="1" ref="B64" ca="1">RIGHT(INDIRECT("A43"),4)</f>
        <v>2024</v>
      </c>
      <c r="C64" s="69">
        <f t="array" aca="1" ref="C64" ca="1">INDIRECT("g43")</f>
        <v>198029.31999999998</v>
      </c>
    </row>
    <row r="65" spans="2:3" ht="12.75" customHeight="1">
      <c r="B65" s="68" t="str">
        <f t="array" aca="1" ref="B65" ca="1">RIGHT(INDIRECT("A44"),4)</f>
        <v>2023</v>
      </c>
      <c r="C65" s="69">
        <f t="array" aca="1" ref="C65" ca="1">INDIRECT("g44")</f>
        <v>200255.30000000005</v>
      </c>
    </row>
    <row r="66" spans="2:3" ht="12.75" customHeight="1">
      <c r="B66" s="68" t="str">
        <f t="array" aca="1" ref="B66" ca="1">RIGHT(INDIRECT("A45"),4)</f>
        <v>2022</v>
      </c>
      <c r="C66" s="69">
        <f t="array" aca="1" ref="C66" ca="1">INDIRECT("g45")</f>
        <v>208595.81000000003</v>
      </c>
    </row>
    <row r="67" spans="2:3" ht="12.75" customHeight="1">
      <c r="B67" s="68" t="str">
        <f t="array" aca="1" ref="B67" ca="1">RIGHT(INDIRECT("A46"),4)</f>
        <v>2021</v>
      </c>
      <c r="C67" s="69">
        <f t="array" aca="1" ref="C67" ca="1">INDIRECT("g46")</f>
        <v>202656.80999999997</v>
      </c>
    </row>
    <row r="68" spans="2:3" ht="12.75" customHeight="1">
      <c r="B68" s="68" t="str">
        <f t="array" aca="1" ref="B68" ca="1">RIGHT(INDIRECT("A47"),4)</f>
        <v>2020</v>
      </c>
      <c r="C68" s="69">
        <f t="array" aca="1" ref="C68" ca="1">INDIRECT("g47")</f>
        <v>209351.73152300002</v>
      </c>
    </row>
    <row r="69" spans="2:3" ht="12.75" customHeight="1">
      <c r="B69" s="68" t="str">
        <f t="array" aca="1" ref="B69" ca="1">RIGHT(INDIRECT("A48"),4)</f>
        <v>2019</v>
      </c>
      <c r="C69" s="69">
        <f t="array" aca="1" ref="C69" ca="1">INDIRECT("g48")</f>
        <v>204195.98518900003</v>
      </c>
    </row>
    <row r="70" spans="2:3" ht="12.75" customHeight="1">
      <c r="B70" s="68" t="str">
        <f t="array" aca="1" ref="B70" ca="1">RIGHT(INDIRECT("A49"),4)</f>
        <v>2018</v>
      </c>
      <c r="C70" s="69">
        <f t="array" aca="1" ref="C70" ca="1">INDIRECT("g49")</f>
        <v>204950.34233299995</v>
      </c>
    </row>
    <row r="71" spans="2:3" ht="12.75" customHeight="1">
      <c r="B71" s="68" t="str">
        <f t="array" aca="1" ref="B71" ca="1">RIGHT(INDIRECT("A50"),4)</f>
        <v>2017</v>
      </c>
      <c r="C71" s="69">
        <f t="array" aca="1" ref="C71" ca="1">INDIRECT("g50")</f>
        <v>184769.39899999998</v>
      </c>
    </row>
    <row r="72" spans="2:3" ht="12.75" customHeight="1">
      <c r="B72" s="68" t="str">
        <f t="array" aca="1" ref="B72" ca="1">RIGHT(INDIRECT("A51"),4)</f>
        <v>2016</v>
      </c>
      <c r="C72" s="69">
        <f t="array" aca="1" ref="C72" ca="1">INDIRECT("g51")</f>
        <v>200126.7</v>
      </c>
    </row>
    <row r="73" spans="2:3" ht="12.75" customHeight="1">
      <c r="B73" s="68" t="str">
        <f t="array" aca="1" ref="B73" ca="1">RIGHT(INDIRECT("A52"),4)</f>
        <v>2015</v>
      </c>
      <c r="C73" s="69">
        <f t="array" aca="1" ref="C73" ca="1">INDIRECT("g52")</f>
        <v>214323.03999999998</v>
      </c>
    </row>
    <row r="74" spans="2:3" ht="12.75" customHeight="1">
      <c r="B74" s="68" t="str">
        <f t="array" aca="1" ref="B74" ca="1">RIGHT(INDIRECT("A53"),4)</f>
        <v>2014</v>
      </c>
      <c r="C74" s="69">
        <f t="array" aca="1" ref="C74" ca="1">INDIRECT("g53")</f>
        <v>214832.40999999995</v>
      </c>
    </row>
    <row r="75" spans="2:3" ht="12.75" customHeight="1">
      <c r="B75" s="68" t="str">
        <f t="array" aca="1" ref="B75" ca="1">RIGHT(INDIRECT("A54"),4)</f>
        <v>2013</v>
      </c>
      <c r="C75" s="69">
        <f t="array" aca="1" ref="C75" ca="1">INDIRECT("g54")</f>
        <v>220914.93</v>
      </c>
    </row>
    <row r="76" spans="2:3" ht="12.75" customHeight="1">
      <c r="B76" s="34" t="str">
        <f t="array" aca="1" ref="B76" ca="1">RIGHT(INDIRECT("A55"),4)</f>
        <v>2012</v>
      </c>
      <c r="C76" s="69">
        <f t="array" aca="1" ref="C76" ca="1">INDIRECT("g55")</f>
        <v>223669.35</v>
      </c>
    </row>
    <row r="77" spans="2:3" ht="12.75" customHeight="1"/>
    <row r="78" spans="2:3" ht="12.75" customHeight="1"/>
    <row r="79" spans="2:3" ht="12.75" customHeight="1"/>
    <row r="80" spans="2: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autoFilter ref="L10:M59" xr:uid="{00000000-0009-0000-0000-000027000000}">
    <sortState xmlns:xlrd2="http://schemas.microsoft.com/office/spreadsheetml/2017/richdata2" ref="L11:M59">
      <sortCondition descending="1" ref="M10:M59"/>
    </sortState>
  </autoFilter>
  <mergeCells count="35">
    <mergeCell ref="A53:B53"/>
    <mergeCell ref="A54:B54"/>
    <mergeCell ref="A55:B55"/>
    <mergeCell ref="A56:B56"/>
    <mergeCell ref="A57:B57"/>
    <mergeCell ref="A58:B58"/>
    <mergeCell ref="A47:B47"/>
    <mergeCell ref="A48:B48"/>
    <mergeCell ref="A49:B49"/>
    <mergeCell ref="A50:B50"/>
    <mergeCell ref="A51:B51"/>
    <mergeCell ref="A52:B52"/>
    <mergeCell ref="L8:M9"/>
    <mergeCell ref="N8:O9"/>
    <mergeCell ref="A43:B43"/>
    <mergeCell ref="A44:B44"/>
    <mergeCell ref="A45:B45"/>
    <mergeCell ref="A46:B46"/>
    <mergeCell ref="J6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A5:J5"/>
    <mergeCell ref="A6:A9"/>
    <mergeCell ref="B6:B9"/>
    <mergeCell ref="C6:F7"/>
    <mergeCell ref="G6:H7"/>
    <mergeCell ref="I6:I9"/>
  </mergeCells>
  <hyperlinks>
    <hyperlink ref="O60" r:id="rId1" xr:uid="{6D610602-89BF-4384-8611-ECE969970FA4}"/>
    <hyperlink ref="H61" r:id="rId2" xr:uid="{BF77935F-95D9-4411-BDE8-DE0950599338}"/>
  </hyperlinks>
  <printOptions horizontalCentered="1"/>
  <pageMargins left="0.74803149606299213" right="0.23622047244094491" top="0.78740157480314965" bottom="0.82677165354330717" header="0" footer="0"/>
  <pageSetup paperSize="14" fitToHeight="0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 Deres</vt:lpstr>
      <vt:lpstr>'K Deres'!Z_3F279D1F_CFB3_4226_902F_136088D6AABE_.wvu.Cols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2025-09-01T04:28:17Z</dcterms:created>
  <dcterms:modified xsi:type="dcterms:W3CDTF">2025-09-01T04:28:25Z</dcterms:modified>
</cp:coreProperties>
</file>