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75" windowHeight="2790" tabRatio="535" activeTab="0"/>
  </bookViews>
  <sheets>
    <sheet name="REKAP 5 TH" sheetId="1" r:id="rId1"/>
    <sheet name="REKAP PROP" sheetId="2" r:id="rId2"/>
    <sheet name="BENG.SOLO" sheetId="3" r:id="rId3"/>
    <sheet name="PROB-SCIT" sheetId="4" r:id="rId4"/>
    <sheet name="PC-JT-SL" sheetId="5" r:id="rId5"/>
    <sheet name="Analisa" sheetId="6" r:id="rId6"/>
    <sheet name="Sheet1" sheetId="7" r:id="rId7"/>
    <sheet name="Sheet2" sheetId="8" r:id="rId8"/>
    <sheet name="Sheet3" sheetId="9" r:id="rId9"/>
  </sheets>
  <externalReferences>
    <externalReference r:id="rId12"/>
  </externalReferences>
  <definedNames>
    <definedName name="_xlnm.Print_Area" localSheetId="2">'BENG.SOLO'!$A$2:$L$65</definedName>
    <definedName name="_xlnm.Print_Area" localSheetId="4">'PC-JT-SL'!$A$1:$L$72</definedName>
    <definedName name="_xlnm.Print_Area" localSheetId="3">'PROB-SCIT'!$A$1:$L$64</definedName>
    <definedName name="_xlnm.Print_Area" localSheetId="0">'REKAP 5 TH'!$B$1:$L$53</definedName>
  </definedNames>
  <calcPr fullCalcOnLoad="1"/>
</workbook>
</file>

<file path=xl/sharedStrings.xml><?xml version="1.0" encoding="utf-8"?>
<sst xmlns="http://schemas.openxmlformats.org/spreadsheetml/2006/main" count="854" uniqueCount="441">
  <si>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</si>
  <si>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</si>
  <si>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</si>
  <si>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</si>
  <si>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</si>
  <si>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</si>
  <si>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</si>
  <si>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</si>
  <si>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</si>
  <si>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</si>
  <si>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</si>
  <si>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</si>
  <si>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</si>
  <si>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</si>
  <si>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</si>
  <si>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</si>
  <si>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</si>
  <si>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</si>
  <si>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</si>
  <si>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</si>
  <si>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</si>
  <si>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</si>
  <si>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</si>
  <si>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</si>
  <si>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</si>
  <si>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</si>
  <si>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</si>
  <si>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</si>
  <si>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</si>
  <si>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</si>
  <si>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</si>
  <si>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</si>
  <si>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</si>
  <si>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</si>
  <si>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</si>
  <si>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</si>
  <si>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</si>
  <si>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</si>
  <si>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</si>
  <si>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</si>
  <si>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</si>
  <si>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</si>
  <si>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</si>
  <si>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</si>
  <si>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</si>
  <si>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</si>
  <si>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</si>
  <si>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</si>
  <si>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</si>
  <si>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</si>
  <si>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</si>
  <si>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</si>
  <si>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</si>
  <si>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</si>
  <si>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</si>
  <si>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</si>
  <si>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</si>
  <si>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</si>
  <si>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</si>
  <si>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</si>
  <si>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</si>
  <si>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</si>
  <si>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</si>
  <si>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</si>
  <si>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</si>
  <si>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</si>
  <si>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</si>
  <si>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</si>
  <si>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</si>
  <si>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</si>
  <si>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</si>
  <si>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</si>
  <si>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</si>
  <si>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</si>
  <si>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</si>
  <si>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</si>
  <si>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</si>
  <si>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</si>
  <si>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</si>
  <si>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</si>
  <si>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</si>
  <si>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</si>
  <si>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</si>
  <si>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</si>
  <si>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</si>
  <si>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</si>
  <si>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</si>
  <si>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</si>
  <si>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</si>
  <si>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</si>
  <si>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</si>
  <si>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</si>
  <si>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</si>
  <si>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</si>
  <si>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</si>
  <si>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</si>
  <si>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</si>
  <si>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</si>
  <si>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</si>
  <si>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r>
      <t>(m</t>
    </r>
    <r>
      <rPr>
        <b/>
        <vertAlign val="superscript"/>
        <sz val="12"/>
        <rFont val="Arial"/>
        <family val="2"/>
      </rPr>
      <t>3/</t>
    </r>
    <r>
      <rPr>
        <b/>
        <sz val="12"/>
        <rFont val="Arial"/>
        <family val="2"/>
      </rPr>
      <t>dt).</t>
    </r>
  </si>
  <si>
    <t>Jaban</t>
  </si>
  <si>
    <t>Ploso Wareng</t>
  </si>
  <si>
    <t>Walikan</t>
  </si>
  <si>
    <t>Pepen</t>
  </si>
  <si>
    <t>Lemah Bang II</t>
  </si>
  <si>
    <t>BALAI PSDA PROBOLO DAN BALAI PSDA SERCIT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</si>
  <si>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</si>
  <si>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</si>
  <si>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</si>
  <si>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</si>
  <si>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</si>
  <si>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</si>
  <si>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</si>
  <si>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</si>
  <si>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</si>
  <si>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</si>
  <si>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</si>
  <si>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</si>
  <si>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</si>
  <si>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</si>
  <si>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</si>
  <si>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</si>
  <si>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</si>
  <si>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</si>
  <si>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</si>
  <si>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</si>
  <si>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</si>
  <si>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</si>
  <si>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</si>
  <si>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</si>
  <si>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</si>
  <si>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</si>
  <si>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</si>
  <si>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</si>
  <si>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</si>
  <si>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</si>
  <si>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</si>
  <si>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</si>
  <si>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</si>
  <si>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</si>
  <si>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BALAI PSDA BENGAWAN SOLO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</si>
  <si>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</si>
  <si>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</si>
  <si>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</si>
  <si>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</si>
  <si>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</si>
  <si>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</si>
  <si>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</si>
  <si>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</si>
  <si>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</si>
  <si>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</si>
  <si>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</si>
  <si>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</si>
  <si>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</si>
  <si>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</si>
  <si>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</si>
  <si>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</si>
  <si>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</si>
  <si>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</si>
  <si>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</si>
  <si>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</si>
  <si>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</si>
  <si>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Rata-2</t>
  </si>
  <si>
    <t>BALAI PSDA</t>
  </si>
  <si>
    <t xml:space="preserve">PER BALAI PSDA SE JAWA TENGAH </t>
  </si>
  <si>
    <t>REKAP PANTAUAN  DEBIT BENDUNG KONTROL POINT</t>
  </si>
  <si>
    <t>JRAGUNG TUNTANG</t>
  </si>
  <si>
    <t>Gisik</t>
  </si>
  <si>
    <t>Colo</t>
  </si>
  <si>
    <t>Kr.Anyar</t>
  </si>
  <si>
    <t>Kedung Putri</t>
  </si>
  <si>
    <t>Boro</t>
  </si>
  <si>
    <t>Pager/Tlatar</t>
  </si>
  <si>
    <t>Keterangan</t>
  </si>
  <si>
    <t>Sudikampir</t>
  </si>
  <si>
    <t>Padurekso</t>
  </si>
  <si>
    <t>=  *)  Data tidak dikirim dari Balai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</si>
  <si>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</si>
  <si>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</si>
  <si>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</si>
  <si>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</si>
  <si>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</si>
  <si>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</si>
  <si>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</si>
  <si>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</si>
  <si>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</si>
  <si>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</si>
  <si>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</si>
  <si>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</si>
  <si>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</si>
  <si>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</si>
  <si>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= @  Keweangan Provinsi</t>
  </si>
  <si>
    <t xml:space="preserve">=  $  Kewenangan Pusat,  </t>
  </si>
  <si>
    <t xml:space="preserve">   Faktor K  =  0.5 s/d 0.7    -----&gt;   Giliran ( Potensi rawan kekeringan)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</si>
  <si>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</si>
  <si>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</si>
  <si>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</si>
  <si>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</si>
  <si>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</si>
  <si>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</si>
  <si>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</si>
  <si>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</si>
  <si>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</si>
  <si>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</si>
  <si>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</si>
  <si>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</si>
  <si>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</si>
  <si>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</si>
  <si>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</si>
  <si>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</si>
  <si>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</si>
  <si>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</si>
  <si>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</si>
  <si>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</si>
  <si>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</si>
  <si>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</si>
  <si>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</si>
  <si>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</si>
  <si>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</si>
  <si>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</si>
  <si>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</si>
  <si>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</si>
  <si>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</si>
  <si>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</si>
  <si>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</si>
  <si>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</si>
  <si>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</si>
  <si>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</si>
  <si>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</si>
  <si>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</si>
  <si>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</si>
  <si>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</si>
  <si>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</si>
  <si>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</si>
  <si>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</si>
  <si>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</si>
  <si>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</si>
  <si>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</si>
  <si>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</si>
  <si>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</si>
  <si>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</si>
  <si>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</si>
  <si>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</si>
  <si>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</si>
  <si>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Suplesi hujan</t>
  </si>
  <si>
    <t>Kab/Kota Pekalongan</t>
  </si>
  <si>
    <t>Kab. Tegal</t>
  </si>
  <si>
    <t>Dukuhjati</t>
  </si>
  <si>
    <t>Cipero</t>
  </si>
  <si>
    <t>Kapasitas sal tidak mencukupi</t>
  </si>
  <si>
    <t>Sidorejo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</si>
  <si>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</si>
  <si>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</si>
  <si>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</si>
  <si>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</si>
  <si>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</si>
  <si>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</si>
  <si>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</si>
  <si>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</si>
  <si>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</si>
  <si>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</si>
  <si>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</si>
  <si>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</si>
  <si>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PRAKIRAAN  KETERSEDIAAN  AIR  IRIGASI </t>
  </si>
  <si>
    <t>PADA BENDUNG KONTROL POINT KEWENANGAN PUSAT</t>
  </si>
  <si>
    <t>PERIODE  : 20  -  26 MARET 2012</t>
  </si>
  <si>
    <t>MINGGU KE : IV MARET 2012</t>
  </si>
  <si>
    <t>N0.</t>
  </si>
  <si>
    <t>KABUPATEN</t>
  </si>
  <si>
    <t>DAERAH</t>
  </si>
  <si>
    <t xml:space="preserve">SAWAH </t>
  </si>
  <si>
    <t>Q LIMPAS</t>
  </si>
  <si>
    <t>Q INTAKE m3/dt</t>
  </si>
  <si>
    <t>Q SUNGAI</t>
  </si>
  <si>
    <t>Q KEB.</t>
  </si>
  <si>
    <t>FAKTOR</t>
  </si>
  <si>
    <t>KET.</t>
  </si>
  <si>
    <t>KONTROL</t>
  </si>
  <si>
    <t>KOTA</t>
  </si>
  <si>
    <t>IRIGASI</t>
  </si>
  <si>
    <t>M3/dt</t>
  </si>
  <si>
    <t>KN</t>
  </si>
  <si>
    <t>KR</t>
  </si>
  <si>
    <t>POINT</t>
  </si>
  <si>
    <t>( Ha. )</t>
  </si>
  <si>
    <t>15=(11+12+13)</t>
  </si>
  <si>
    <t>17=(12+13)/15</t>
  </si>
  <si>
    <t xml:space="preserve"> Krompeng</t>
  </si>
  <si>
    <t xml:space="preserve"> Kab. Pkl, Kota Pkl</t>
  </si>
  <si>
    <t xml:space="preserve"> Kupang</t>
  </si>
  <si>
    <t xml:space="preserve"> &amp; Kab. Batang</t>
  </si>
  <si>
    <t xml:space="preserve"> Pesantren Kletak</t>
  </si>
  <si>
    <t xml:space="preserve"> Kaliwadas</t>
  </si>
  <si>
    <t xml:space="preserve"> Kab. Pkl, Kab Pml</t>
  </si>
  <si>
    <t xml:space="preserve"> Notog</t>
  </si>
  <si>
    <t xml:space="preserve"> Kab. Tegal &amp; Kab Brebes</t>
  </si>
  <si>
    <t xml:space="preserve"> Pemali Bawah</t>
  </si>
  <si>
    <t xml:space="preserve"> Sokawati</t>
  </si>
  <si>
    <t xml:space="preserve"> Kab. Pemalang</t>
  </si>
  <si>
    <t xml:space="preserve"> Comal </t>
  </si>
  <si>
    <t xml:space="preserve"> Rehabilitasi oleh BBWS Pemali Juana</t>
  </si>
  <si>
    <t xml:space="preserve"> Brondong</t>
  </si>
  <si>
    <t xml:space="preserve"> Kab. Pekalongan</t>
  </si>
  <si>
    <t xml:space="preserve"> Sragi</t>
  </si>
  <si>
    <t xml:space="preserve"> Sungapan</t>
  </si>
  <si>
    <t xml:space="preserve"> Cisadap</t>
  </si>
  <si>
    <t xml:space="preserve"> Kab. Brebes</t>
  </si>
  <si>
    <t xml:space="preserve"> Babakan</t>
  </si>
  <si>
    <t xml:space="preserve"> Nambo</t>
  </si>
  <si>
    <t xml:space="preserve"> Kabuyutan</t>
  </si>
  <si>
    <t xml:space="preserve"> Ada Suplesi Hujan yang Cukup</t>
  </si>
  <si>
    <t xml:space="preserve"> Cibendung</t>
  </si>
  <si>
    <t xml:space="preserve"> Jengkelok</t>
  </si>
  <si>
    <t xml:space="preserve"> Dukuhjati</t>
  </si>
  <si>
    <t xml:space="preserve"> Kab. Tegal</t>
  </si>
  <si>
    <t xml:space="preserve"> Layanan Cacaban</t>
  </si>
  <si>
    <t xml:space="preserve"> Danawarih</t>
  </si>
  <si>
    <t xml:space="preserve"> Gung</t>
  </si>
  <si>
    <t xml:space="preserve"> Cipero</t>
  </si>
  <si>
    <t xml:space="preserve"> Rambut</t>
  </si>
  <si>
    <t xml:space="preserve"> Cawitali</t>
  </si>
  <si>
    <t xml:space="preserve"> Kumisik</t>
  </si>
  <si>
    <t>Tegal, 20 Maret 2012</t>
  </si>
  <si>
    <t>Mengetahui :</t>
  </si>
  <si>
    <t>PLH KEPALA BALAI PENGELOLAAN SUMBER DAYA AIR</t>
  </si>
  <si>
    <t xml:space="preserve"> PEMALI COMAL</t>
  </si>
  <si>
    <t>Ir. RADITO, MT</t>
  </si>
  <si>
    <t>NIP. 19661221 199102 1 001</t>
  </si>
  <si>
    <t>Kramat</t>
  </si>
  <si>
    <t>SUNGAI</t>
  </si>
  <si>
    <t>Kupang</t>
  </si>
  <si>
    <t>Sengkarang</t>
  </si>
  <si>
    <t>Pemali</t>
  </si>
  <si>
    <t>Genteng</t>
  </si>
  <si>
    <t>Kepada Yth Ibu BRILIYAN  021    7221907</t>
  </si>
  <si>
    <t>HARTADI 024  - 91182720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</si>
  <si>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</si>
  <si>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</si>
  <si>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</si>
  <si>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</si>
  <si>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</si>
  <si>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</si>
  <si>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</si>
  <si>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</si>
  <si>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</si>
  <si>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</si>
  <si>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</si>
  <si>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</si>
  <si>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</si>
  <si>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</si>
  <si>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</si>
  <si>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</si>
  <si>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</si>
  <si>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</si>
  <si>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</si>
  <si>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</si>
  <si>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</si>
  <si>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</si>
  <si>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</si>
  <si>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</si>
  <si>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</si>
  <si>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</si>
  <si>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</si>
  <si>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</si>
  <si>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</si>
  <si>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</si>
  <si>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</si>
  <si>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</si>
  <si>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</si>
  <si>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</si>
  <si>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</si>
  <si>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</si>
  <si>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</si>
  <si>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Sudo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</si>
  <si>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</si>
  <si>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</si>
  <si>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</si>
  <si>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</si>
  <si>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</si>
  <si>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</si>
  <si>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</si>
  <si>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</si>
  <si>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</si>
  <si>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</si>
  <si>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</si>
  <si>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</si>
  <si>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</si>
  <si>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</si>
  <si>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</si>
  <si>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</si>
  <si>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</si>
  <si>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</si>
  <si>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</si>
  <si>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>. Naruan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</si>
  <si>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</si>
  <si>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</si>
  <si>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</si>
  <si>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</si>
  <si>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</si>
  <si>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</si>
  <si>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</si>
  <si>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</si>
  <si>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</si>
  <si>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</si>
  <si>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</si>
  <si>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</si>
  <si>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</si>
  <si>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</si>
  <si>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</si>
  <si>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</si>
  <si>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</si>
  <si>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</si>
  <si>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</si>
  <si>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</si>
  <si>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</si>
  <si>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</si>
  <si>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</si>
  <si>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</si>
  <si>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</si>
  <si>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</si>
  <si>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</si>
  <si>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</si>
  <si>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</si>
  <si>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</si>
  <si>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</si>
  <si>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</si>
  <si>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</si>
  <si>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</si>
  <si>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</si>
  <si>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</si>
  <si>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</si>
  <si>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</si>
  <si>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</si>
  <si>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</si>
  <si>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2008 / september</t>
  </si>
  <si>
    <t>2009 / September</t>
  </si>
  <si>
    <t>2010 / September</t>
  </si>
  <si>
    <t>2011 / september</t>
  </si>
  <si>
    <t>2012 / september</t>
  </si>
  <si>
    <t xml:space="preserve">MINGGU   ke  I ( Tgl. 29 Juli  s/d 5 Agustus  2013 )  </t>
  </si>
  <si>
    <t>2013 /  Agustus 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</si>
</sst>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_(* #,##0.000_);_(* \(#,##0.000\);_(* &quot;-&quot;???_);_(@_)"/>
    <numFmt numFmtId="177" formatCode="_(* #,##0.0000_);_(* \(#,##0.0000\);_(* &quot;-&quot;??_);_(@_)"/>
    <numFmt numFmtId="178" formatCode="0.0000"/>
    <numFmt numFmtId="179" formatCode="_(* #,##0.00000_);_(* \(#,##0.00000\);_(* &quot;-&quot;??_);_(@_)"/>
    <numFmt numFmtId="180" formatCode="0.0000000"/>
    <numFmt numFmtId="181" formatCode="0.000000"/>
    <numFmt numFmtId="182" formatCode="0.00000"/>
    <numFmt numFmtId="183" formatCode="_(* #,##0.00_);_(* \(#,##0.00\);_(* &quot;-&quot;???_);_(@_)"/>
    <numFmt numFmtId="184" formatCode="_(* #,##0.0_);_(* \(#,##0.0\);_(* &quot;-&quot;???_);_(@_)"/>
    <numFmt numFmtId="185" formatCode="_(* #,##0_);_(* \(#,##0\);_(* &quot;-&quot;???_);_(@_)"/>
    <numFmt numFmtId="186" formatCode="#,##0.000_);\(#,##0.000\)"/>
    <numFmt numFmtId="187" formatCode="_(* #,##0.000000_);_(* \(#,##0.000000\);_(* &quot;-&quot;??_);_(@_)"/>
    <numFmt numFmtId="188" formatCode="0.00000000"/>
    <numFmt numFmtId="189" formatCode="_(* #,##0.0_);_(* \(#,##0.0\);_(* &quot;-&quot;?_);_(@_)"/>
    <numFmt numFmtId="190" formatCode="[$-409]dddd\,\ mmmm\ dd\,\ yyyy"/>
    <numFmt numFmtId="191" formatCode="[$-409]h:mm:ss\ AM/PM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 * #,##0_)_R_p_ ;_ * \(#,##0\)_R_p_ ;_ * &quot;-&quot;_)_R_p_ ;_ @_ "/>
    <numFmt numFmtId="196" formatCode="#,##0.000"/>
    <numFmt numFmtId="197" formatCode="_ * #,##0.00_)_R_p_ ;_ * \(#,##0.00\)_R_p_ ;_ * &quot;-&quot;??_)_R_p_ ;_ @_ "/>
    <numFmt numFmtId="198" formatCode="#,##0.000;[Red]#,##0.000"/>
    <numFmt numFmtId="199" formatCode="_ * #,##0.0_)_R_p_ ;_ * \(#,##0.0\)_R_p_ ;_ * &quot;-&quot;_)_R_p_ ;_ @_ "/>
    <numFmt numFmtId="200" formatCode="_ * #,##0.00_)_R_p_ ;_ * \(#,##0.00\)_R_p_ ;_ * &quot;-&quot;_)_R_p_ ;_ @_ "/>
    <numFmt numFmtId="201" formatCode="_ * #,##0.000_)_R_p_ ;_ * \(#,##0.000\)_R_p_ ;_ * &quot;-&quot;_)_R_p_ ;_ @_ "/>
    <numFmt numFmtId="202" formatCode="_(* #,##0.00_);_(* \(#,##0.00\);_(* \-??_);_(@_)"/>
    <numFmt numFmtId="203" formatCode="_(* #,##0.000_);_(* \(#,##0.000\);_(* \-??_);_(@_)"/>
    <numFmt numFmtId="204" formatCode="_(* #,##0.0000_);_(* \(#,##0.0000\);_(* &quot;-&quot;_);_(@_)"/>
    <numFmt numFmtId="205" formatCode="_ * #,##0.0000_)_R_p_ ;_ * \(#,##0.0000\)_R_p_ ;_ * &quot;-&quot;_)_R_p_ ;_ @_ "/>
    <numFmt numFmtId="206" formatCode="_ * #,##0.00000_)_R_p_ ;_ * \(#,##0.00000\)_R_p_ ;_ * &quot;-&quot;_)_R_p_ ;_ @_ "/>
    <numFmt numFmtId="207" formatCode="_ * #,##0.000000_)_R_p_ ;_ * \(#,##0.000000\)_R_p_ ;_ * &quot;-&quot;_)_R_p_ ;_ @_ "/>
    <numFmt numFmtId="208" formatCode="_ * #,##0.0000000_)_R_p_ ;_ * \(#,##0.0000000\)_R_p_ ;_ * &quot;-&quot;_)_R_p_ ;_ @_ "/>
  </numFmts>
  <fonts count="10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Script MT Bold"/>
      <family val="4"/>
    </font>
    <font>
      <b/>
      <u val="single"/>
      <sz val="1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Black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11.8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sz val="10"/>
      <color indexed="10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sz val="16"/>
      <color indexed="53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ahoma"/>
      <family val="0"/>
    </font>
    <font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21.5"/>
      <color indexed="10"/>
      <name val="Arial"/>
      <family val="0"/>
    </font>
    <font>
      <b/>
      <sz val="18"/>
      <color indexed="8"/>
      <name val="Berlin Sans FB Demi"/>
      <family val="0"/>
    </font>
    <font>
      <b/>
      <sz val="16"/>
      <color indexed="8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5"/>
      <name val="Arial Narrow"/>
      <family val="2"/>
    </font>
    <font>
      <sz val="12"/>
      <color theme="1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thick"/>
      <bottom style="thick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0" fontId="1" fillId="0" borderId="13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5" xfId="42" applyNumberFormat="1" applyFont="1" applyBorder="1" applyAlignment="1">
      <alignment/>
    </xf>
    <xf numFmtId="174" fontId="1" fillId="0" borderId="13" xfId="42" applyNumberFormat="1" applyFont="1" applyBorder="1" applyAlignment="1">
      <alignment/>
    </xf>
    <xf numFmtId="174" fontId="1" fillId="0" borderId="15" xfId="42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1" fillId="0" borderId="18" xfId="4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74" fontId="1" fillId="0" borderId="18" xfId="42" applyNumberFormat="1" applyFont="1" applyBorder="1" applyAlignment="1">
      <alignment/>
    </xf>
    <xf numFmtId="174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174" fontId="1" fillId="0" borderId="17" xfId="42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/>
    </xf>
    <xf numFmtId="170" fontId="1" fillId="0" borderId="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174" fontId="1" fillId="0" borderId="34" xfId="42" applyNumberFormat="1" applyFont="1" applyBorder="1" applyAlignment="1">
      <alignment/>
    </xf>
    <xf numFmtId="170" fontId="1" fillId="0" borderId="13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 horizontal="center"/>
    </xf>
    <xf numFmtId="174" fontId="1" fillId="0" borderId="35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70" fontId="1" fillId="0" borderId="13" xfId="42" applyNumberFormat="1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74" fontId="1" fillId="0" borderId="13" xfId="0" applyNumberFormat="1" applyFont="1" applyBorder="1" applyAlignment="1">
      <alignment/>
    </xf>
    <xf numFmtId="174" fontId="1" fillId="0" borderId="36" xfId="42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170" fontId="1" fillId="0" borderId="38" xfId="42" applyNumberFormat="1" applyFont="1" applyBorder="1" applyAlignment="1">
      <alignment/>
    </xf>
    <xf numFmtId="174" fontId="1" fillId="0" borderId="38" xfId="42" applyNumberFormat="1" applyFont="1" applyBorder="1" applyAlignment="1">
      <alignment/>
    </xf>
    <xf numFmtId="174" fontId="1" fillId="0" borderId="33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43" fontId="1" fillId="0" borderId="22" xfId="42" applyFont="1" applyBorder="1" applyAlignment="1">
      <alignment/>
    </xf>
    <xf numFmtId="170" fontId="1" fillId="0" borderId="0" xfId="42" applyNumberFormat="1" applyFont="1" applyBorder="1" applyAlignment="1" quotePrefix="1">
      <alignment horizontal="center"/>
    </xf>
    <xf numFmtId="170" fontId="1" fillId="0" borderId="16" xfId="42" applyNumberFormat="1" applyFont="1" applyBorder="1" applyAlignment="1" quotePrefix="1">
      <alignment horizontal="center"/>
    </xf>
    <xf numFmtId="170" fontId="1" fillId="0" borderId="16" xfId="42" applyNumberFormat="1" applyFont="1" applyBorder="1" applyAlignment="1">
      <alignment horizontal="center"/>
    </xf>
    <xf numFmtId="170" fontId="1" fillId="0" borderId="17" xfId="42" applyNumberFormat="1" applyFont="1" applyBorder="1" applyAlignment="1" quotePrefix="1">
      <alignment horizontal="center"/>
    </xf>
    <xf numFmtId="170" fontId="1" fillId="0" borderId="18" xfId="42" applyNumberFormat="1" applyFont="1" applyBorder="1" applyAlignment="1">
      <alignment horizontal="center"/>
    </xf>
    <xf numFmtId="170" fontId="0" fillId="0" borderId="0" xfId="42" applyNumberFormat="1" applyFont="1" applyAlignment="1">
      <alignment/>
    </xf>
    <xf numFmtId="174" fontId="8" fillId="0" borderId="18" xfId="42" applyNumberFormat="1" applyFont="1" applyBorder="1" applyAlignment="1">
      <alignment/>
    </xf>
    <xf numFmtId="174" fontId="1" fillId="0" borderId="33" xfId="42" applyNumberFormat="1" applyFont="1" applyBorder="1" applyAlignment="1">
      <alignment horizontal="center"/>
    </xf>
    <xf numFmtId="170" fontId="1" fillId="0" borderId="33" xfId="42" applyNumberFormat="1" applyFont="1" applyBorder="1" applyAlignment="1" quotePrefix="1">
      <alignment horizontal="center"/>
    </xf>
    <xf numFmtId="170" fontId="1" fillId="0" borderId="15" xfId="42" applyNumberFormat="1" applyFont="1" applyBorder="1" applyAlignment="1" quotePrefix="1">
      <alignment horizontal="center"/>
    </xf>
    <xf numFmtId="43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0" fontId="1" fillId="0" borderId="38" xfId="42" applyNumberFormat="1" applyFont="1" applyBorder="1" applyAlignment="1" quotePrefix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40" xfId="0" applyFont="1" applyBorder="1" applyAlignment="1">
      <alignment horizontal="center"/>
    </xf>
    <xf numFmtId="170" fontId="1" fillId="0" borderId="41" xfId="42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2" fillId="0" borderId="44" xfId="0" applyFont="1" applyBorder="1" applyAlignment="1">
      <alignment horizontal="center"/>
    </xf>
    <xf numFmtId="43" fontId="2" fillId="0" borderId="45" xfId="42" applyFont="1" applyBorder="1" applyAlignment="1">
      <alignment/>
    </xf>
    <xf numFmtId="43" fontId="2" fillId="0" borderId="46" xfId="42" applyFont="1" applyBorder="1" applyAlignment="1">
      <alignment/>
    </xf>
    <xf numFmtId="170" fontId="1" fillId="0" borderId="15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43" fontId="1" fillId="0" borderId="34" xfId="42" applyFont="1" applyBorder="1" applyAlignment="1">
      <alignment/>
    </xf>
    <xf numFmtId="0" fontId="1" fillId="0" borderId="48" xfId="0" applyFont="1" applyBorder="1" applyAlignment="1">
      <alignment horizontal="center"/>
    </xf>
    <xf numFmtId="170" fontId="2" fillId="0" borderId="45" xfId="42" applyNumberFormat="1" applyFont="1" applyBorder="1" applyAlignment="1">
      <alignment/>
    </xf>
    <xf numFmtId="170" fontId="2" fillId="0" borderId="49" xfId="42" applyNumberFormat="1" applyFont="1" applyBorder="1" applyAlignment="1">
      <alignment/>
    </xf>
    <xf numFmtId="170" fontId="2" fillId="0" borderId="46" xfId="42" applyNumberFormat="1" applyFont="1" applyBorder="1" applyAlignment="1">
      <alignment/>
    </xf>
    <xf numFmtId="170" fontId="2" fillId="0" borderId="50" xfId="42" applyNumberFormat="1" applyFont="1" applyBorder="1" applyAlignment="1">
      <alignment/>
    </xf>
    <xf numFmtId="170" fontId="2" fillId="0" borderId="46" xfId="42" applyNumberFormat="1" applyFont="1" applyBorder="1" applyAlignment="1">
      <alignment horizontal="center"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Border="1" applyAlignment="1">
      <alignment horizontal="left"/>
    </xf>
    <xf numFmtId="43" fontId="1" fillId="0" borderId="0" xfId="42" applyNumberFormat="1" applyFont="1" applyBorder="1" applyAlignment="1" quotePrefix="1">
      <alignment horizontal="left"/>
    </xf>
    <xf numFmtId="170" fontId="1" fillId="0" borderId="0" xfId="42" applyNumberFormat="1" applyFont="1" applyBorder="1" applyAlignment="1">
      <alignment horizontal="left"/>
    </xf>
    <xf numFmtId="173" fontId="1" fillId="0" borderId="0" xfId="42" applyNumberFormat="1" applyFont="1" applyBorder="1" applyAlignment="1" quotePrefix="1">
      <alignment horizontal="center"/>
    </xf>
    <xf numFmtId="174" fontId="1" fillId="0" borderId="0" xfId="42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173" fontId="1" fillId="0" borderId="0" xfId="42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15" fillId="0" borderId="0" xfId="0" applyFont="1" applyAlignment="1">
      <alignment/>
    </xf>
    <xf numFmtId="170" fontId="1" fillId="0" borderId="51" xfId="42" applyNumberFormat="1" applyFont="1" applyBorder="1" applyAlignment="1" quotePrefix="1">
      <alignment horizontal="center"/>
    </xf>
    <xf numFmtId="0" fontId="4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 quotePrefix="1">
      <alignment/>
    </xf>
    <xf numFmtId="170" fontId="1" fillId="33" borderId="13" xfId="42" applyNumberFormat="1" applyFont="1" applyFill="1" applyBorder="1" applyAlignment="1" quotePrefix="1">
      <alignment horizontal="center"/>
    </xf>
    <xf numFmtId="43" fontId="1" fillId="0" borderId="0" xfId="42" applyFont="1" applyBorder="1" applyAlignment="1">
      <alignment/>
    </xf>
    <xf numFmtId="0" fontId="2" fillId="0" borderId="13" xfId="0" applyFont="1" applyBorder="1" applyAlignment="1">
      <alignment/>
    </xf>
    <xf numFmtId="170" fontId="1" fillId="0" borderId="0" xfId="0" applyNumberFormat="1" applyFont="1" applyAlignment="1">
      <alignment/>
    </xf>
    <xf numFmtId="43" fontId="1" fillId="34" borderId="0" xfId="42" applyNumberFormat="1" applyFont="1" applyFill="1" applyBorder="1" applyAlignment="1" quotePrefix="1">
      <alignment horizontal="center"/>
    </xf>
    <xf numFmtId="43" fontId="1" fillId="33" borderId="0" xfId="42" applyNumberFormat="1" applyFont="1" applyFill="1" applyBorder="1" applyAlignment="1" quotePrefix="1">
      <alignment horizontal="center"/>
    </xf>
    <xf numFmtId="0" fontId="2" fillId="0" borderId="52" xfId="0" applyFont="1" applyBorder="1" applyAlignment="1">
      <alignment horizontal="center"/>
    </xf>
    <xf numFmtId="43" fontId="3" fillId="0" borderId="53" xfId="42" applyFont="1" applyBorder="1" applyAlignment="1" quotePrefix="1">
      <alignment horizontal="center"/>
    </xf>
    <xf numFmtId="43" fontId="1" fillId="0" borderId="53" xfId="42" applyNumberFormat="1" applyFont="1" applyBorder="1" applyAlignment="1" quotePrefix="1">
      <alignment horizontal="center"/>
    </xf>
    <xf numFmtId="170" fontId="1" fillId="0" borderId="53" xfId="42" applyNumberFormat="1" applyFont="1" applyBorder="1" applyAlignment="1" quotePrefix="1">
      <alignment horizontal="center"/>
    </xf>
    <xf numFmtId="170" fontId="1" fillId="35" borderId="53" xfId="42" applyNumberFormat="1" applyFont="1" applyFill="1" applyBorder="1" applyAlignment="1" quotePrefix="1">
      <alignment horizontal="center"/>
    </xf>
    <xf numFmtId="43" fontId="1" fillId="0" borderId="53" xfId="4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3" fillId="0" borderId="13" xfId="42" applyFont="1" applyBorder="1" applyAlignment="1" quotePrefix="1">
      <alignment horizontal="center"/>
    </xf>
    <xf numFmtId="43" fontId="1" fillId="0" borderId="13" xfId="42" applyNumberFormat="1" applyFont="1" applyBorder="1" applyAlignment="1" quotePrefix="1">
      <alignment horizontal="center"/>
    </xf>
    <xf numFmtId="43" fontId="1" fillId="35" borderId="13" xfId="42" applyNumberFormat="1" applyFont="1" applyFill="1" applyBorder="1" applyAlignment="1" quotePrefix="1">
      <alignment horizontal="center"/>
    </xf>
    <xf numFmtId="43" fontId="1" fillId="33" borderId="13" xfId="42" applyNumberFormat="1" applyFont="1" applyFill="1" applyBorder="1" applyAlignment="1" quotePrefix="1">
      <alignment horizontal="center"/>
    </xf>
    <xf numFmtId="43" fontId="1" fillId="0" borderId="13" xfId="42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18" fillId="36" borderId="43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43" fontId="1" fillId="0" borderId="0" xfId="0" applyNumberFormat="1" applyFont="1" applyBorder="1" applyAlignment="1">
      <alignment/>
    </xf>
    <xf numFmtId="174" fontId="0" fillId="0" borderId="0" xfId="42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41" borderId="54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2" fillId="40" borderId="56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0" fontId="2" fillId="42" borderId="58" xfId="0" applyFont="1" applyFill="1" applyBorder="1" applyAlignment="1">
      <alignment horizontal="center"/>
    </xf>
    <xf numFmtId="0" fontId="2" fillId="42" borderId="59" xfId="0" applyFont="1" applyFill="1" applyBorder="1" applyAlignment="1">
      <alignment horizontal="center"/>
    </xf>
    <xf numFmtId="0" fontId="2" fillId="42" borderId="60" xfId="0" applyFont="1" applyFill="1" applyBorder="1" applyAlignment="1">
      <alignment horizontal="center"/>
    </xf>
    <xf numFmtId="0" fontId="2" fillId="42" borderId="61" xfId="0" applyFont="1" applyFill="1" applyBorder="1" applyAlignment="1">
      <alignment horizontal="center"/>
    </xf>
    <xf numFmtId="0" fontId="2" fillId="42" borderId="6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170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/>
    </xf>
    <xf numFmtId="43" fontId="1" fillId="0" borderId="0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0" fontId="7" fillId="0" borderId="0" xfId="42" applyNumberFormat="1" applyFont="1" applyAlignment="1">
      <alignment/>
    </xf>
    <xf numFmtId="0" fontId="7" fillId="0" borderId="0" xfId="0" applyFont="1" applyAlignment="1">
      <alignment/>
    </xf>
    <xf numFmtId="170" fontId="2" fillId="0" borderId="0" xfId="42" applyNumberFormat="1" applyFont="1" applyAlignment="1">
      <alignment/>
    </xf>
    <xf numFmtId="170" fontId="2" fillId="0" borderId="63" xfId="42" applyNumberFormat="1" applyFont="1" applyBorder="1" applyAlignment="1">
      <alignment/>
    </xf>
    <xf numFmtId="0" fontId="1" fillId="43" borderId="0" xfId="0" applyFont="1" applyFill="1" applyAlignment="1">
      <alignment/>
    </xf>
    <xf numFmtId="0" fontId="23" fillId="0" borderId="0" xfId="0" applyFont="1" applyAlignment="1">
      <alignment horizontal="right"/>
    </xf>
    <xf numFmtId="170" fontId="21" fillId="0" borderId="0" xfId="42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43" fontId="4" fillId="0" borderId="64" xfId="42" applyFont="1" applyBorder="1" applyAlignment="1">
      <alignment/>
    </xf>
    <xf numFmtId="43" fontId="3" fillId="0" borderId="65" xfId="42" applyFont="1" applyBorder="1" applyAlignment="1">
      <alignment/>
    </xf>
    <xf numFmtId="43" fontId="2" fillId="0" borderId="65" xfId="42" applyNumberFormat="1" applyFont="1" applyBorder="1" applyAlignment="1">
      <alignment/>
    </xf>
    <xf numFmtId="43" fontId="4" fillId="44" borderId="63" xfId="42" applyFont="1" applyFill="1" applyBorder="1" applyAlignment="1">
      <alignment/>
    </xf>
    <xf numFmtId="0" fontId="2" fillId="45" borderId="63" xfId="0" applyFont="1" applyFill="1" applyBorder="1" applyAlignment="1">
      <alignment/>
    </xf>
    <xf numFmtId="0" fontId="22" fillId="46" borderId="63" xfId="0" applyFont="1" applyFill="1" applyBorder="1" applyAlignment="1">
      <alignment/>
    </xf>
    <xf numFmtId="0" fontId="2" fillId="44" borderId="63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170" fontId="27" fillId="0" borderId="18" xfId="42" applyNumberFormat="1" applyFont="1" applyBorder="1" applyAlignment="1">
      <alignment/>
    </xf>
    <xf numFmtId="172" fontId="27" fillId="0" borderId="18" xfId="0" applyNumberFormat="1" applyFont="1" applyBorder="1" applyAlignment="1">
      <alignment horizontal="center"/>
    </xf>
    <xf numFmtId="43" fontId="27" fillId="0" borderId="18" xfId="42" applyFont="1" applyBorder="1" applyAlignment="1" quotePrefix="1">
      <alignment horizontal="center"/>
    </xf>
    <xf numFmtId="170" fontId="27" fillId="0" borderId="18" xfId="42" applyNumberFormat="1" applyFont="1" applyBorder="1" applyAlignment="1" quotePrefix="1">
      <alignment horizontal="center"/>
    </xf>
    <xf numFmtId="43" fontId="27" fillId="0" borderId="22" xfId="42" applyFont="1" applyBorder="1" applyAlignment="1" quotePrefix="1">
      <alignment horizontal="center"/>
    </xf>
    <xf numFmtId="43" fontId="24" fillId="0" borderId="34" xfId="42" applyFont="1" applyBorder="1" applyAlignment="1">
      <alignment/>
    </xf>
    <xf numFmtId="170" fontId="24" fillId="33" borderId="13" xfId="42" applyNumberFormat="1" applyFont="1" applyFill="1" applyBorder="1" applyAlignment="1" quotePrefix="1">
      <alignment horizontal="center"/>
    </xf>
    <xf numFmtId="170" fontId="24" fillId="33" borderId="34" xfId="42" applyNumberFormat="1" applyFont="1" applyFill="1" applyBorder="1" applyAlignment="1" quotePrefix="1">
      <alignment horizontal="center"/>
    </xf>
    <xf numFmtId="43" fontId="24" fillId="0" borderId="13" xfId="42" applyFont="1" applyBorder="1" applyAlignment="1">
      <alignment/>
    </xf>
    <xf numFmtId="174" fontId="24" fillId="33" borderId="13" xfId="42" applyNumberFormat="1" applyFont="1" applyFill="1" applyBorder="1" applyAlignment="1" quotePrefix="1">
      <alignment horizontal="center"/>
    </xf>
    <xf numFmtId="43" fontId="24" fillId="33" borderId="13" xfId="42" applyFont="1" applyFill="1" applyBorder="1" applyAlignment="1" quotePrefix="1">
      <alignment horizontal="center"/>
    </xf>
    <xf numFmtId="170" fontId="24" fillId="33" borderId="13" xfId="42" applyNumberFormat="1" applyFont="1" applyFill="1" applyBorder="1" applyAlignment="1">
      <alignment horizontal="center"/>
    </xf>
    <xf numFmtId="43" fontId="24" fillId="0" borderId="13" xfId="42" applyNumberFormat="1" applyFont="1" applyBorder="1" applyAlignment="1">
      <alignment/>
    </xf>
    <xf numFmtId="43" fontId="24" fillId="0" borderId="17" xfId="42" applyNumberFormat="1" applyFont="1" applyBorder="1" applyAlignment="1">
      <alignment/>
    </xf>
    <xf numFmtId="170" fontId="24" fillId="33" borderId="17" xfId="42" applyNumberFormat="1" applyFont="1" applyFill="1" applyBorder="1" applyAlignment="1" quotePrefix="1">
      <alignment horizontal="center"/>
    </xf>
    <xf numFmtId="43" fontId="24" fillId="0" borderId="33" xfId="42" applyNumberFormat="1" applyFont="1" applyBorder="1" applyAlignment="1">
      <alignment/>
    </xf>
    <xf numFmtId="170" fontId="24" fillId="33" borderId="33" xfId="42" applyNumberFormat="1" applyFont="1" applyFill="1" applyBorder="1" applyAlignment="1" quotePrefix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/>
    </xf>
    <xf numFmtId="43" fontId="24" fillId="0" borderId="38" xfId="42" applyNumberFormat="1" applyFont="1" applyBorder="1" applyAlignment="1">
      <alignment/>
    </xf>
    <xf numFmtId="170" fontId="24" fillId="33" borderId="38" xfId="42" applyNumberFormat="1" applyFont="1" applyFill="1" applyBorder="1" applyAlignment="1">
      <alignment/>
    </xf>
    <xf numFmtId="0" fontId="24" fillId="0" borderId="0" xfId="0" applyFont="1" applyAlignment="1">
      <alignment/>
    </xf>
    <xf numFmtId="174" fontId="24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170" fontId="25" fillId="0" borderId="63" xfId="42" applyNumberFormat="1" applyFont="1" applyBorder="1" applyAlignment="1">
      <alignment/>
    </xf>
    <xf numFmtId="170" fontId="25" fillId="0" borderId="0" xfId="42" applyNumberFormat="1" applyFont="1" applyAlignment="1">
      <alignment/>
    </xf>
    <xf numFmtId="170" fontId="26" fillId="0" borderId="0" xfId="42" applyNumberFormat="1" applyFont="1" applyAlignment="1">
      <alignment/>
    </xf>
    <xf numFmtId="170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46" borderId="63" xfId="0" applyFont="1" applyFill="1" applyBorder="1" applyAlignment="1">
      <alignment/>
    </xf>
    <xf numFmtId="0" fontId="25" fillId="45" borderId="63" xfId="0" applyFont="1" applyFill="1" applyBorder="1" applyAlignment="1">
      <alignment/>
    </xf>
    <xf numFmtId="43" fontId="29" fillId="44" borderId="63" xfId="42" applyFont="1" applyFill="1" applyBorder="1" applyAlignment="1">
      <alignment/>
    </xf>
    <xf numFmtId="0" fontId="0" fillId="0" borderId="0" xfId="0" applyAlignment="1">
      <alignment vertical="center"/>
    </xf>
    <xf numFmtId="170" fontId="24" fillId="33" borderId="66" xfId="42" applyNumberFormat="1" applyFont="1" applyFill="1" applyBorder="1" applyAlignment="1" quotePrefix="1">
      <alignment horizontal="center"/>
    </xf>
    <xf numFmtId="170" fontId="1" fillId="0" borderId="16" xfId="42" applyNumberFormat="1" applyFont="1" applyBorder="1" applyAlignment="1" quotePrefix="1">
      <alignment/>
    </xf>
    <xf numFmtId="43" fontId="4" fillId="0" borderId="67" xfId="42" applyFont="1" applyBorder="1" applyAlignment="1">
      <alignment/>
    </xf>
    <xf numFmtId="43" fontId="4" fillId="0" borderId="68" xfId="42" applyFont="1" applyBorder="1" applyAlignment="1">
      <alignment/>
    </xf>
    <xf numFmtId="43" fontId="4" fillId="0" borderId="69" xfId="42" applyNumberFormat="1" applyFont="1" applyBorder="1" applyAlignment="1" quotePrefix="1">
      <alignment horizontal="center"/>
    </xf>
    <xf numFmtId="43" fontId="4" fillId="0" borderId="69" xfId="42" applyFont="1" applyBorder="1" applyAlignment="1">
      <alignment/>
    </xf>
    <xf numFmtId="43" fontId="4" fillId="0" borderId="70" xfId="42" applyFont="1" applyBorder="1" applyAlignment="1">
      <alignment/>
    </xf>
    <xf numFmtId="170" fontId="18" fillId="0" borderId="69" xfId="42" applyNumberFormat="1" applyFont="1" applyBorder="1" applyAlignment="1">
      <alignment horizontal="center"/>
    </xf>
    <xf numFmtId="43" fontId="3" fillId="0" borderId="64" xfId="42" applyNumberFormat="1" applyFont="1" applyBorder="1" applyAlignment="1">
      <alignment horizontal="center"/>
    </xf>
    <xf numFmtId="43" fontId="3" fillId="0" borderId="64" xfId="42" applyFont="1" applyBorder="1" applyAlignment="1">
      <alignment/>
    </xf>
    <xf numFmtId="43" fontId="4" fillId="0" borderId="64" xfId="42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3" fontId="10" fillId="0" borderId="0" xfId="42" applyFont="1" applyBorder="1" applyAlignment="1">
      <alignment/>
    </xf>
    <xf numFmtId="43" fontId="1" fillId="0" borderId="64" xfId="42" applyFont="1" applyBorder="1" applyAlignment="1">
      <alignment/>
    </xf>
    <xf numFmtId="43" fontId="1" fillId="0" borderId="71" xfId="42" applyFont="1" applyBorder="1" applyAlignment="1">
      <alignment/>
    </xf>
    <xf numFmtId="43" fontId="1" fillId="0" borderId="71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1" fillId="0" borderId="0" xfId="42" applyFont="1" applyAlignment="1">
      <alignment/>
    </xf>
    <xf numFmtId="173" fontId="1" fillId="0" borderId="0" xfId="42" applyNumberFormat="1" applyFont="1" applyAlignment="1">
      <alignment/>
    </xf>
    <xf numFmtId="174" fontId="1" fillId="0" borderId="0" xfId="42" applyNumberFormat="1" applyFont="1" applyAlignment="1">
      <alignment/>
    </xf>
    <xf numFmtId="174" fontId="20" fillId="0" borderId="0" xfId="42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42" applyNumberFormat="1" applyFont="1" applyAlignment="1">
      <alignment/>
    </xf>
    <xf numFmtId="0" fontId="2" fillId="0" borderId="15" xfId="0" applyFont="1" applyBorder="1" applyAlignment="1">
      <alignment/>
    </xf>
    <xf numFmtId="174" fontId="2" fillId="0" borderId="15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2" fillId="0" borderId="16" xfId="0" applyFont="1" applyBorder="1" applyAlignment="1">
      <alignment/>
    </xf>
    <xf numFmtId="174" fontId="2" fillId="0" borderId="16" xfId="42" applyNumberFormat="1" applyFont="1" applyBorder="1" applyAlignment="1">
      <alignment/>
    </xf>
    <xf numFmtId="194" fontId="1" fillId="0" borderId="13" xfId="43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3" fontId="34" fillId="0" borderId="0" xfId="42" applyNumberFormat="1" applyFont="1" applyBorder="1" applyAlignment="1" quotePrefix="1">
      <alignment horizontal="center"/>
    </xf>
    <xf numFmtId="170" fontId="1" fillId="0" borderId="72" xfId="42" applyNumberFormat="1" applyFont="1" applyBorder="1" applyAlignment="1">
      <alignment/>
    </xf>
    <xf numFmtId="170" fontId="1" fillId="0" borderId="72" xfId="0" applyNumberFormat="1" applyFont="1" applyBorder="1" applyAlignment="1">
      <alignment/>
    </xf>
    <xf numFmtId="170" fontId="1" fillId="0" borderId="16" xfId="42" applyNumberFormat="1" applyFont="1" applyBorder="1" applyAlignment="1" quotePrefix="1">
      <alignment horizontal="center" vertical="center"/>
    </xf>
    <xf numFmtId="170" fontId="1" fillId="33" borderId="0" xfId="0" applyNumberFormat="1" applyFont="1" applyFill="1" applyAlignment="1">
      <alignment/>
    </xf>
    <xf numFmtId="170" fontId="1" fillId="33" borderId="0" xfId="42" applyNumberFormat="1" applyFont="1" applyFill="1" applyBorder="1" applyAlignment="1">
      <alignment horizontal="center"/>
    </xf>
    <xf numFmtId="194" fontId="1" fillId="33" borderId="0" xfId="43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170" fontId="1" fillId="33" borderId="0" xfId="42" applyNumberFormat="1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174" fontId="1" fillId="0" borderId="73" xfId="42" applyNumberFormat="1" applyFont="1" applyBorder="1" applyAlignment="1">
      <alignment/>
    </xf>
    <xf numFmtId="170" fontId="1" fillId="0" borderId="0" xfId="42" applyNumberFormat="1" applyFont="1" applyBorder="1" applyAlignment="1">
      <alignment/>
    </xf>
    <xf numFmtId="43" fontId="2" fillId="0" borderId="0" xfId="42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3" xfId="0" applyFont="1" applyBorder="1" applyAlignment="1">
      <alignment horizontal="center"/>
    </xf>
    <xf numFmtId="170" fontId="35" fillId="33" borderId="53" xfId="42" applyNumberFormat="1" applyFont="1" applyFill="1" applyBorder="1" applyAlignment="1" quotePrefix="1">
      <alignment horizontal="center"/>
    </xf>
    <xf numFmtId="43" fontId="35" fillId="33" borderId="13" xfId="42" applyNumberFormat="1" applyFont="1" applyFill="1" applyBorder="1" applyAlignment="1" quotePrefix="1">
      <alignment horizontal="center"/>
    </xf>
    <xf numFmtId="170" fontId="1" fillId="33" borderId="13" xfId="42" applyNumberFormat="1" applyFont="1" applyFill="1" applyBorder="1" applyAlignment="1" quotePrefix="1">
      <alignment/>
    </xf>
    <xf numFmtId="43" fontId="24" fillId="0" borderId="75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/>
    </xf>
    <xf numFmtId="0" fontId="24" fillId="0" borderId="78" xfId="0" applyFont="1" applyBorder="1" applyAlignment="1">
      <alignment horizontal="center"/>
    </xf>
    <xf numFmtId="0" fontId="24" fillId="0" borderId="79" xfId="0" applyFont="1" applyBorder="1" applyAlignment="1">
      <alignment/>
    </xf>
    <xf numFmtId="0" fontId="98" fillId="0" borderId="79" xfId="0" applyFont="1" applyBorder="1" applyAlignment="1">
      <alignment/>
    </xf>
    <xf numFmtId="0" fontId="24" fillId="47" borderId="79" xfId="0" applyFont="1" applyFill="1" applyBorder="1" applyAlignment="1">
      <alignment/>
    </xf>
    <xf numFmtId="0" fontId="24" fillId="48" borderId="79" xfId="0" applyFont="1" applyFill="1" applyBorder="1" applyAlignment="1">
      <alignment/>
    </xf>
    <xf numFmtId="0" fontId="24" fillId="0" borderId="80" xfId="0" applyFont="1" applyBorder="1" applyAlignment="1">
      <alignment/>
    </xf>
    <xf numFmtId="0" fontId="24" fillId="0" borderId="81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0" fillId="0" borderId="85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5" xfId="0" applyBorder="1" applyAlignment="1">
      <alignment/>
    </xf>
    <xf numFmtId="3" fontId="0" fillId="0" borderId="86" xfId="0" applyNumberFormat="1" applyBorder="1" applyAlignment="1">
      <alignment horizontal="right"/>
    </xf>
    <xf numFmtId="196" fontId="0" fillId="0" borderId="87" xfId="43" applyNumberFormat="1" applyFont="1" applyBorder="1" applyAlignment="1">
      <alignment horizontal="right" vertical="distributed"/>
    </xf>
    <xf numFmtId="196" fontId="0" fillId="0" borderId="85" xfId="43" applyNumberFormat="1" applyFont="1" applyBorder="1" applyAlignment="1">
      <alignment horizontal="right"/>
    </xf>
    <xf numFmtId="172" fontId="0" fillId="0" borderId="85" xfId="43" applyNumberFormat="1" applyFont="1" applyBorder="1" applyAlignment="1" quotePrefix="1">
      <alignment horizontal="center"/>
    </xf>
    <xf numFmtId="196" fontId="0" fillId="0" borderId="85" xfId="43" applyNumberFormat="1" applyFont="1" applyBorder="1" applyAlignment="1" quotePrefix="1">
      <alignment horizontal="right"/>
    </xf>
    <xf numFmtId="4" fontId="0" fillId="0" borderId="87" xfId="43" applyNumberFormat="1" applyFont="1" applyBorder="1" applyAlignment="1" quotePrefix="1">
      <alignment horizontal="center"/>
    </xf>
    <xf numFmtId="0" fontId="0" fillId="0" borderId="85" xfId="0" applyBorder="1" applyAlignment="1">
      <alignment horizontal="left"/>
    </xf>
    <xf numFmtId="0" fontId="0" fillId="0" borderId="87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87" xfId="0" applyBorder="1" applyAlignment="1">
      <alignment/>
    </xf>
    <xf numFmtId="3" fontId="0" fillId="0" borderId="88" xfId="0" applyNumberFormat="1" applyBorder="1" applyAlignment="1">
      <alignment horizontal="right"/>
    </xf>
    <xf numFmtId="3" fontId="0" fillId="0" borderId="87" xfId="42" applyNumberFormat="1" applyFont="1" applyBorder="1" applyAlignment="1">
      <alignment horizontal="right"/>
    </xf>
    <xf numFmtId="196" fontId="0" fillId="0" borderId="87" xfId="43" applyNumberFormat="1" applyFont="1" applyBorder="1" applyAlignment="1">
      <alignment horizontal="right"/>
    </xf>
    <xf numFmtId="196" fontId="0" fillId="0" borderId="89" xfId="43" applyNumberFormat="1" applyFont="1" applyBorder="1" applyAlignment="1" quotePrefix="1">
      <alignment horizontal="center"/>
    </xf>
    <xf numFmtId="196" fontId="0" fillId="0" borderId="87" xfId="43" applyNumberFormat="1" applyFont="1" applyBorder="1" applyAlignment="1" quotePrefix="1">
      <alignment horizontal="right"/>
    </xf>
    <xf numFmtId="0" fontId="0" fillId="0" borderId="87" xfId="0" applyBorder="1" applyAlignment="1">
      <alignment horizontal="left"/>
    </xf>
    <xf numFmtId="195" fontId="0" fillId="0" borderId="87" xfId="43" applyNumberFormat="1" applyFont="1" applyBorder="1" applyAlignment="1">
      <alignment horizontal="right"/>
    </xf>
    <xf numFmtId="196" fontId="0" fillId="0" borderId="87" xfId="0" applyNumberFormat="1" applyBorder="1" applyAlignment="1">
      <alignment horizontal="left"/>
    </xf>
    <xf numFmtId="198" fontId="0" fillId="0" borderId="87" xfId="43" applyNumberFormat="1" applyFont="1" applyBorder="1" applyAlignment="1">
      <alignment horizontal="right"/>
    </xf>
    <xf numFmtId="172" fontId="0" fillId="0" borderId="87" xfId="43" applyNumberFormat="1" applyFont="1" applyBorder="1" applyAlignment="1">
      <alignment horizontal="right"/>
    </xf>
    <xf numFmtId="172" fontId="0" fillId="0" borderId="87" xfId="43" applyNumberFormat="1" applyFont="1" applyBorder="1" applyAlignment="1" quotePrefix="1">
      <alignment horizontal="right"/>
    </xf>
    <xf numFmtId="172" fontId="0" fillId="0" borderId="87" xfId="43" applyNumberFormat="1" applyFont="1" applyBorder="1" applyAlignment="1">
      <alignment horizontal="right" vertical="distributed"/>
    </xf>
    <xf numFmtId="195" fontId="0" fillId="0" borderId="87" xfId="43" applyNumberFormat="1" applyFont="1" applyBorder="1" applyAlignment="1">
      <alignment horizontal="right"/>
    </xf>
    <xf numFmtId="196" fontId="0" fillId="0" borderId="90" xfId="43" applyNumberFormat="1" applyFont="1" applyBorder="1" applyAlignment="1">
      <alignment horizontal="right"/>
    </xf>
    <xf numFmtId="0" fontId="0" fillId="0" borderId="90" xfId="0" applyBorder="1" applyAlignment="1">
      <alignment horizontal="center"/>
    </xf>
    <xf numFmtId="0" fontId="0" fillId="0" borderId="90" xfId="0" applyBorder="1" applyAlignment="1">
      <alignment/>
    </xf>
    <xf numFmtId="3" fontId="0" fillId="0" borderId="91" xfId="0" applyNumberFormat="1" applyBorder="1" applyAlignment="1">
      <alignment horizontal="right"/>
    </xf>
    <xf numFmtId="196" fontId="0" fillId="0" borderId="90" xfId="43" applyNumberFormat="1" applyFont="1" applyBorder="1" applyAlignment="1">
      <alignment horizontal="right"/>
    </xf>
    <xf numFmtId="195" fontId="0" fillId="0" borderId="90" xfId="43" applyNumberFormat="1" applyFont="1" applyBorder="1" applyAlignment="1">
      <alignment horizontal="right"/>
    </xf>
    <xf numFmtId="196" fontId="0" fillId="0" borderId="90" xfId="43" applyNumberFormat="1" applyFont="1" applyBorder="1" applyAlignment="1" quotePrefix="1">
      <alignment horizontal="right"/>
    </xf>
    <xf numFmtId="4" fontId="0" fillId="0" borderId="90" xfId="43" applyNumberFormat="1" applyFont="1" applyBorder="1" applyAlignment="1" quotePrefix="1">
      <alignment horizontal="center"/>
    </xf>
    <xf numFmtId="0" fontId="0" fillId="0" borderId="90" xfId="0" applyBorder="1" applyAlignment="1">
      <alignment horizontal="left"/>
    </xf>
    <xf numFmtId="19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74" fontId="2" fillId="0" borderId="92" xfId="42" applyNumberFormat="1" applyFont="1" applyBorder="1" applyAlignment="1">
      <alignment/>
    </xf>
    <xf numFmtId="174" fontId="2" fillId="0" borderId="66" xfId="42" applyNumberFormat="1" applyFont="1" applyBorder="1" applyAlignment="1">
      <alignment/>
    </xf>
    <xf numFmtId="174" fontId="2" fillId="0" borderId="93" xfId="42" applyNumberFormat="1" applyFont="1" applyBorder="1" applyAlignment="1">
      <alignment/>
    </xf>
    <xf numFmtId="170" fontId="2" fillId="0" borderId="93" xfId="42" applyNumberFormat="1" applyFont="1" applyBorder="1" applyAlignment="1">
      <alignment/>
    </xf>
    <xf numFmtId="196" fontId="1" fillId="0" borderId="13" xfId="43" applyNumberFormat="1" applyFont="1" applyBorder="1" applyAlignment="1">
      <alignment horizontal="right"/>
    </xf>
    <xf numFmtId="196" fontId="1" fillId="0" borderId="13" xfId="43" applyNumberFormat="1" applyFont="1" applyBorder="1" applyAlignment="1" quotePrefix="1">
      <alignment horizontal="right"/>
    </xf>
    <xf numFmtId="195" fontId="1" fillId="0" borderId="13" xfId="43" applyNumberFormat="1" applyFont="1" applyBorder="1" applyAlignment="1">
      <alignment horizontal="right"/>
    </xf>
    <xf numFmtId="172" fontId="1" fillId="0" borderId="13" xfId="43" applyNumberFormat="1" applyFont="1" applyBorder="1" applyAlignment="1">
      <alignment horizontal="right"/>
    </xf>
    <xf numFmtId="172" fontId="1" fillId="0" borderId="13" xfId="43" applyNumberFormat="1" applyFont="1" applyBorder="1" applyAlignment="1">
      <alignment horizontal="right" vertical="distributed"/>
    </xf>
    <xf numFmtId="170" fontId="2" fillId="0" borderId="92" xfId="42" applyNumberFormat="1" applyFont="1" applyBorder="1" applyAlignment="1">
      <alignment/>
    </xf>
    <xf numFmtId="170" fontId="2" fillId="0" borderId="66" xfId="42" applyNumberFormat="1" applyFont="1" applyBorder="1" applyAlignment="1">
      <alignment/>
    </xf>
    <xf numFmtId="174" fontId="2" fillId="0" borderId="38" xfId="42" applyNumberFormat="1" applyFont="1" applyBorder="1" applyAlignment="1">
      <alignment/>
    </xf>
    <xf numFmtId="174" fontId="2" fillId="0" borderId="17" xfId="42" applyNumberFormat="1" applyFont="1" applyBorder="1" applyAlignment="1">
      <alignment/>
    </xf>
    <xf numFmtId="170" fontId="2" fillId="0" borderId="13" xfId="42" applyNumberFormat="1" applyFont="1" applyBorder="1" applyAlignment="1">
      <alignment/>
    </xf>
    <xf numFmtId="174" fontId="2" fillId="0" borderId="33" xfId="42" applyNumberFormat="1" applyFont="1" applyBorder="1" applyAlignment="1">
      <alignment horizontal="center"/>
    </xf>
    <xf numFmtId="174" fontId="2" fillId="0" borderId="18" xfId="42" applyNumberFormat="1" applyFont="1" applyBorder="1" applyAlignment="1">
      <alignment/>
    </xf>
    <xf numFmtId="194" fontId="2" fillId="0" borderId="92" xfId="43" applyNumberFormat="1" applyFont="1" applyBorder="1" applyAlignment="1">
      <alignment/>
    </xf>
    <xf numFmtId="174" fontId="16" fillId="0" borderId="94" xfId="42" applyNumberFormat="1" applyFont="1" applyBorder="1" applyAlignment="1">
      <alignment/>
    </xf>
    <xf numFmtId="43" fontId="1" fillId="0" borderId="95" xfId="42" applyFont="1" applyBorder="1" applyAlignment="1">
      <alignment/>
    </xf>
    <xf numFmtId="174" fontId="2" fillId="0" borderId="39" xfId="42" applyNumberFormat="1" applyFont="1" applyBorder="1" applyAlignment="1">
      <alignment/>
    </xf>
    <xf numFmtId="170" fontId="1" fillId="0" borderId="96" xfId="42" applyNumberFormat="1" applyFont="1" applyBorder="1" applyAlignment="1">
      <alignment/>
    </xf>
    <xf numFmtId="0" fontId="2" fillId="42" borderId="97" xfId="0" applyFont="1" applyFill="1" applyBorder="1" applyAlignment="1">
      <alignment horizontal="center"/>
    </xf>
    <xf numFmtId="0" fontId="2" fillId="42" borderId="82" xfId="0" applyFont="1" applyFill="1" applyBorder="1" applyAlignment="1">
      <alignment horizontal="center"/>
    </xf>
    <xf numFmtId="0" fontId="2" fillId="42" borderId="26" xfId="0" applyFont="1" applyFill="1" applyBorder="1" applyAlignment="1">
      <alignment horizontal="center"/>
    </xf>
    <xf numFmtId="0" fontId="2" fillId="42" borderId="27" xfId="0" applyFont="1" applyFill="1" applyBorder="1" applyAlignment="1">
      <alignment horizontal="center"/>
    </xf>
    <xf numFmtId="0" fontId="2" fillId="42" borderId="98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196" fontId="1" fillId="0" borderId="16" xfId="43" applyNumberFormat="1" applyFont="1" applyBorder="1" applyAlignment="1">
      <alignment horizontal="right"/>
    </xf>
    <xf numFmtId="196" fontId="1" fillId="0" borderId="16" xfId="43" applyNumberFormat="1" applyFont="1" applyBorder="1" applyAlignment="1" quotePrefix="1">
      <alignment horizontal="right"/>
    </xf>
    <xf numFmtId="4" fontId="2" fillId="0" borderId="99" xfId="43" applyNumberFormat="1" applyFont="1" applyBorder="1" applyAlignment="1" quotePrefix="1">
      <alignment horizontal="right"/>
    </xf>
    <xf numFmtId="0" fontId="2" fillId="0" borderId="63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201" fontId="1" fillId="0" borderId="13" xfId="43" applyNumberFormat="1" applyFont="1" applyBorder="1" applyAlignment="1">
      <alignment horizontal="right"/>
    </xf>
    <xf numFmtId="170" fontId="2" fillId="0" borderId="42" xfId="42" applyNumberFormat="1" applyFont="1" applyBorder="1" applyAlignment="1">
      <alignment/>
    </xf>
    <xf numFmtId="0" fontId="1" fillId="49" borderId="13" xfId="0" applyFont="1" applyFill="1" applyBorder="1" applyAlignment="1">
      <alignment/>
    </xf>
    <xf numFmtId="0" fontId="1" fillId="50" borderId="13" xfId="0" applyFont="1" applyFill="1" applyBorder="1" applyAlignment="1">
      <alignment/>
    </xf>
    <xf numFmtId="0" fontId="2" fillId="37" borderId="8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38" borderId="40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16" fillId="0" borderId="100" xfId="0" applyFont="1" applyBorder="1" applyAlignment="1">
      <alignment horizontal="center" vertical="center"/>
    </xf>
    <xf numFmtId="170" fontId="1" fillId="0" borderId="13" xfId="42" applyNumberFormat="1" applyFont="1" applyBorder="1" applyAlignment="1">
      <alignment horizontal="center" vertical="center"/>
    </xf>
    <xf numFmtId="174" fontId="2" fillId="0" borderId="15" xfId="42" applyNumberFormat="1" applyFont="1" applyBorder="1" applyAlignment="1">
      <alignment horizontal="left"/>
    </xf>
    <xf numFmtId="170" fontId="2" fillId="0" borderId="42" xfId="42" applyNumberFormat="1" applyFont="1" applyBorder="1" applyAlignment="1">
      <alignment horizontal="left"/>
    </xf>
    <xf numFmtId="174" fontId="2" fillId="0" borderId="66" xfId="42" applyNumberFormat="1" applyFont="1" applyBorder="1" applyAlignment="1">
      <alignment horizontal="left"/>
    </xf>
    <xf numFmtId="41" fontId="2" fillId="0" borderId="66" xfId="43" applyNumberFormat="1" applyFont="1" applyBorder="1" applyAlignment="1">
      <alignment horizontal="left"/>
    </xf>
    <xf numFmtId="174" fontId="2" fillId="0" borderId="93" xfId="42" applyNumberFormat="1" applyFont="1" applyBorder="1" applyAlignment="1">
      <alignment horizontal="left"/>
    </xf>
    <xf numFmtId="170" fontId="2" fillId="0" borderId="93" xfId="42" applyNumberFormat="1" applyFont="1" applyBorder="1" applyAlignment="1">
      <alignment horizontal="left"/>
    </xf>
    <xf numFmtId="174" fontId="2" fillId="0" borderId="92" xfId="42" applyNumberFormat="1" applyFont="1" applyBorder="1" applyAlignment="1">
      <alignment horizontal="left"/>
    </xf>
    <xf numFmtId="170" fontId="2" fillId="0" borderId="92" xfId="42" applyNumberFormat="1" applyFont="1" applyBorder="1" applyAlignment="1">
      <alignment horizontal="left"/>
    </xf>
    <xf numFmtId="170" fontId="2" fillId="0" borderId="66" xfId="42" applyNumberFormat="1" applyFont="1" applyBorder="1" applyAlignment="1">
      <alignment horizontal="left"/>
    </xf>
    <xf numFmtId="194" fontId="2" fillId="0" borderId="92" xfId="43" applyNumberFormat="1" applyFont="1" applyBorder="1" applyAlignment="1">
      <alignment horizontal="left"/>
    </xf>
    <xf numFmtId="174" fontId="2" fillId="0" borderId="105" xfId="42" applyNumberFormat="1" applyFont="1" applyBorder="1" applyAlignment="1">
      <alignment horizontal="left"/>
    </xf>
    <xf numFmtId="174" fontId="16" fillId="0" borderId="94" xfId="42" applyNumberFormat="1" applyFont="1" applyBorder="1" applyAlignment="1">
      <alignment horizontal="left"/>
    </xf>
    <xf numFmtId="174" fontId="2" fillId="0" borderId="17" xfId="42" applyNumberFormat="1" applyFont="1" applyBorder="1" applyAlignment="1">
      <alignment horizontal="left"/>
    </xf>
    <xf numFmtId="174" fontId="2" fillId="0" borderId="13" xfId="42" applyNumberFormat="1" applyFont="1" applyBorder="1" applyAlignment="1">
      <alignment horizontal="left"/>
    </xf>
    <xf numFmtId="170" fontId="2" fillId="0" borderId="13" xfId="42" applyNumberFormat="1" applyFont="1" applyBorder="1" applyAlignment="1">
      <alignment horizontal="left"/>
    </xf>
    <xf numFmtId="174" fontId="2" fillId="0" borderId="38" xfId="42" applyNumberFormat="1" applyFont="1" applyBorder="1" applyAlignment="1">
      <alignment horizontal="left"/>
    </xf>
    <xf numFmtId="174" fontId="2" fillId="0" borderId="18" xfId="42" applyNumberFormat="1" applyFont="1" applyBorder="1" applyAlignment="1">
      <alignment horizontal="left"/>
    </xf>
    <xf numFmtId="174" fontId="2" fillId="0" borderId="16" xfId="42" applyNumberFormat="1" applyFont="1" applyBorder="1" applyAlignment="1">
      <alignment horizontal="left"/>
    </xf>
    <xf numFmtId="170" fontId="24" fillId="0" borderId="13" xfId="42" applyNumberFormat="1" applyFont="1" applyBorder="1" applyAlignment="1">
      <alignment horizontal="left"/>
    </xf>
    <xf numFmtId="170" fontId="24" fillId="33" borderId="13" xfId="42" applyNumberFormat="1" applyFont="1" applyFill="1" applyBorder="1" applyAlignment="1">
      <alignment horizontal="left"/>
    </xf>
    <xf numFmtId="170" fontId="24" fillId="33" borderId="17" xfId="42" applyNumberFormat="1" applyFont="1" applyFill="1" applyBorder="1" applyAlignment="1">
      <alignment horizontal="left"/>
    </xf>
    <xf numFmtId="170" fontId="24" fillId="33" borderId="33" xfId="42" applyNumberFormat="1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5" fillId="0" borderId="106" xfId="0" applyFont="1" applyBorder="1" applyAlignment="1">
      <alignment/>
    </xf>
    <xf numFmtId="170" fontId="2" fillId="0" borderId="13" xfId="42" applyNumberFormat="1" applyFont="1" applyBorder="1" applyAlignment="1">
      <alignment horizontal="center"/>
    </xf>
    <xf numFmtId="170" fontId="2" fillId="0" borderId="16" xfId="42" applyNumberFormat="1" applyFont="1" applyBorder="1" applyAlignment="1">
      <alignment horizontal="center"/>
    </xf>
    <xf numFmtId="2" fontId="2" fillId="0" borderId="27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170" fontId="1" fillId="0" borderId="107" xfId="42" applyNumberFormat="1" applyFont="1" applyBorder="1" applyAlignment="1">
      <alignment/>
    </xf>
    <xf numFmtId="43" fontId="3" fillId="0" borderId="63" xfId="42" applyFont="1" applyBorder="1" applyAlignment="1">
      <alignment horizontal="center"/>
    </xf>
    <xf numFmtId="170" fontId="1" fillId="0" borderId="108" xfId="42" applyNumberFormat="1" applyFont="1" applyBorder="1" applyAlignment="1">
      <alignment/>
    </xf>
    <xf numFmtId="4" fontId="2" fillId="0" borderId="28" xfId="43" applyNumberFormat="1" applyFont="1" applyBorder="1" applyAlignment="1" quotePrefix="1">
      <alignment horizontal="right"/>
    </xf>
    <xf numFmtId="4" fontId="2" fillId="0" borderId="63" xfId="43" applyNumberFormat="1" applyFont="1" applyBorder="1" applyAlignment="1" quotePrefix="1">
      <alignment horizontal="right"/>
    </xf>
    <xf numFmtId="43" fontId="7" fillId="0" borderId="71" xfId="42" applyFont="1" applyBorder="1" applyAlignment="1">
      <alignment horizontal="center" vertical="center"/>
    </xf>
    <xf numFmtId="43" fontId="7" fillId="0" borderId="54" xfId="42" applyFont="1" applyBorder="1" applyAlignment="1">
      <alignment horizontal="center" vertical="center"/>
    </xf>
    <xf numFmtId="170" fontId="1" fillId="0" borderId="109" xfId="42" applyNumberFormat="1" applyFont="1" applyBorder="1" applyAlignment="1">
      <alignment/>
    </xf>
    <xf numFmtId="43" fontId="7" fillId="0" borderId="63" xfId="42" applyFont="1" applyBorder="1" applyAlignment="1">
      <alignment horizontal="center" vertical="center"/>
    </xf>
    <xf numFmtId="43" fontId="7" fillId="0" borderId="63" xfId="42" applyFont="1" applyBorder="1" applyAlignment="1">
      <alignment horizontal="center"/>
    </xf>
    <xf numFmtId="196" fontId="1" fillId="0" borderId="55" xfId="43" applyNumberFormat="1" applyFont="1" applyBorder="1" applyAlignment="1">
      <alignment horizontal="right"/>
    </xf>
    <xf numFmtId="0" fontId="1" fillId="0" borderId="1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0" fontId="2" fillId="0" borderId="96" xfId="42" applyNumberFormat="1" applyFont="1" applyBorder="1" applyAlignment="1">
      <alignment horizontal="center" vertical="center"/>
    </xf>
    <xf numFmtId="174" fontId="2" fillId="0" borderId="96" xfId="42" applyNumberFormat="1" applyFont="1" applyBorder="1" applyAlignment="1">
      <alignment horizontal="center" vertical="center"/>
    </xf>
    <xf numFmtId="170" fontId="2" fillId="0" borderId="111" xfId="42" applyNumberFormat="1" applyFont="1" applyBorder="1" applyAlignment="1">
      <alignment horizontal="center" vertical="center"/>
    </xf>
    <xf numFmtId="170" fontId="24" fillId="33" borderId="109" xfId="42" applyNumberFormat="1" applyFont="1" applyFill="1" applyBorder="1" applyAlignment="1">
      <alignment/>
    </xf>
    <xf numFmtId="43" fontId="24" fillId="0" borderId="63" xfId="42" applyNumberFormat="1" applyFont="1" applyBorder="1" applyAlignment="1">
      <alignment horizontal="center"/>
    </xf>
    <xf numFmtId="172" fontId="1" fillId="0" borderId="112" xfId="43" applyNumberFormat="1" applyFont="1" applyBorder="1" applyAlignment="1" quotePrefix="1">
      <alignment horizontal="center"/>
    </xf>
    <xf numFmtId="203" fontId="1" fillId="0" borderId="113" xfId="42" applyNumberFormat="1" applyFont="1" applyFill="1" applyBorder="1" applyAlignment="1" applyProtection="1">
      <alignment horizontal="center"/>
      <protection/>
    </xf>
    <xf numFmtId="202" fontId="2" fillId="0" borderId="114" xfId="42" applyNumberFormat="1" applyFont="1" applyFill="1" applyBorder="1" applyAlignment="1" applyProtection="1">
      <alignment horizontal="center"/>
      <protection/>
    </xf>
    <xf numFmtId="203" fontId="1" fillId="0" borderId="77" xfId="42" applyNumberFormat="1" applyFont="1" applyFill="1" applyBorder="1" applyAlignment="1" applyProtection="1">
      <alignment horizontal="center"/>
      <protection/>
    </xf>
    <xf numFmtId="203" fontId="1" fillId="0" borderId="115" xfId="42" applyNumberFormat="1" applyFont="1" applyFill="1" applyBorder="1" applyAlignment="1" applyProtection="1">
      <alignment horizontal="center"/>
      <protection/>
    </xf>
    <xf numFmtId="203" fontId="1" fillId="0" borderId="77" xfId="42" applyNumberFormat="1" applyFont="1" applyFill="1" applyBorder="1" applyAlignment="1" applyProtection="1">
      <alignment/>
      <protection/>
    </xf>
    <xf numFmtId="202" fontId="4" fillId="0" borderId="114" xfId="42" applyNumberFormat="1" applyFont="1" applyFill="1" applyBorder="1" applyAlignment="1" applyProtection="1">
      <alignment horizontal="center"/>
      <protection/>
    </xf>
    <xf numFmtId="203" fontId="1" fillId="47" borderId="77" xfId="42" applyNumberFormat="1" applyFont="1" applyFill="1" applyBorder="1" applyAlignment="1" applyProtection="1">
      <alignment horizontal="center"/>
      <protection/>
    </xf>
    <xf numFmtId="0" fontId="99" fillId="0" borderId="116" xfId="0" applyFont="1" applyBorder="1" applyAlignment="1">
      <alignment/>
    </xf>
    <xf numFmtId="194" fontId="2" fillId="0" borderId="66" xfId="43" applyNumberFormat="1" applyFont="1" applyBorder="1" applyAlignment="1">
      <alignment/>
    </xf>
    <xf numFmtId="0" fontId="2" fillId="38" borderId="73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8" borderId="117" xfId="0" applyFont="1" applyFill="1" applyBorder="1" applyAlignment="1">
      <alignment horizontal="center"/>
    </xf>
    <xf numFmtId="0" fontId="2" fillId="40" borderId="117" xfId="0" applyFont="1" applyFill="1" applyBorder="1" applyAlignment="1">
      <alignment horizontal="center"/>
    </xf>
    <xf numFmtId="0" fontId="2" fillId="41" borderId="118" xfId="0" applyFont="1" applyFill="1" applyBorder="1" applyAlignment="1">
      <alignment horizontal="center"/>
    </xf>
    <xf numFmtId="43" fontId="1" fillId="0" borderId="119" xfId="42" applyFont="1" applyBorder="1" applyAlignment="1">
      <alignment horizontal="center"/>
    </xf>
    <xf numFmtId="202" fontId="3" fillId="0" borderId="120" xfId="42" applyNumberFormat="1" applyFont="1" applyFill="1" applyBorder="1" applyAlignment="1" applyProtection="1">
      <alignment horizontal="center"/>
      <protection/>
    </xf>
    <xf numFmtId="0" fontId="1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43" fontId="3" fillId="0" borderId="26" xfId="42" applyFont="1" applyBorder="1" applyAlignment="1">
      <alignment horizontal="center"/>
    </xf>
    <xf numFmtId="43" fontId="3" fillId="0" borderId="123" xfId="42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43" fontId="3" fillId="0" borderId="69" xfId="42" applyFont="1" applyBorder="1" applyAlignment="1">
      <alignment horizontal="center"/>
    </xf>
    <xf numFmtId="43" fontId="3" fillId="0" borderId="125" xfId="42" applyFont="1" applyBorder="1" applyAlignment="1">
      <alignment horizontal="center"/>
    </xf>
    <xf numFmtId="43" fontId="2" fillId="0" borderId="25" xfId="42" applyFont="1" applyBorder="1" applyAlignment="1">
      <alignment/>
    </xf>
    <xf numFmtId="170" fontId="2" fillId="0" borderId="25" xfId="42" applyNumberFormat="1" applyFont="1" applyBorder="1" applyAlignment="1">
      <alignment/>
    </xf>
    <xf numFmtId="170" fontId="2" fillId="0" borderId="84" xfId="42" applyNumberFormat="1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0" fillId="0" borderId="97" xfId="0" applyBorder="1" applyAlignment="1">
      <alignment/>
    </xf>
    <xf numFmtId="0" fontId="2" fillId="0" borderId="126" xfId="0" applyFont="1" applyBorder="1" applyAlignment="1">
      <alignment horizontal="center"/>
    </xf>
    <xf numFmtId="2" fontId="2" fillId="0" borderId="46" xfId="0" applyNumberFormat="1" applyFont="1" applyBorder="1" applyAlignment="1">
      <alignment/>
    </xf>
    <xf numFmtId="43" fontId="2" fillId="0" borderId="63" xfId="0" applyNumberFormat="1" applyFont="1" applyBorder="1" applyAlignment="1">
      <alignment/>
    </xf>
    <xf numFmtId="0" fontId="2" fillId="0" borderId="63" xfId="0" applyFont="1" applyBorder="1" applyAlignment="1">
      <alignment/>
    </xf>
    <xf numFmtId="203" fontId="1" fillId="51" borderId="77" xfId="42" applyNumberFormat="1" applyFont="1" applyFill="1" applyBorder="1" applyAlignment="1" applyProtection="1">
      <alignment horizontal="center"/>
      <protection/>
    </xf>
    <xf numFmtId="203" fontId="1" fillId="51" borderId="77" xfId="42" applyNumberFormat="1" applyFont="1" applyFill="1" applyBorder="1" applyAlignment="1" applyProtection="1">
      <alignment vertical="center"/>
      <protection/>
    </xf>
    <xf numFmtId="170" fontId="1" fillId="51" borderId="13" xfId="42" applyNumberFormat="1" applyFont="1" applyFill="1" applyBorder="1" applyAlignment="1" quotePrefix="1">
      <alignment horizontal="center"/>
    </xf>
    <xf numFmtId="170" fontId="1" fillId="51" borderId="16" xfId="42" applyNumberFormat="1" applyFont="1" applyFill="1" applyBorder="1" applyAlignment="1" quotePrefix="1">
      <alignment horizontal="center"/>
    </xf>
    <xf numFmtId="170" fontId="24" fillId="51" borderId="13" xfId="42" applyNumberFormat="1" applyFont="1" applyFill="1" applyBorder="1" applyAlignment="1" quotePrefix="1">
      <alignment horizontal="center"/>
    </xf>
    <xf numFmtId="170" fontId="24" fillId="51" borderId="33" xfId="42" applyNumberFormat="1" applyFont="1" applyFill="1" applyBorder="1" applyAlignment="1" quotePrefix="1">
      <alignment horizontal="center"/>
    </xf>
    <xf numFmtId="196" fontId="1" fillId="51" borderId="16" xfId="43" applyNumberFormat="1" applyFont="1" applyFill="1" applyBorder="1" applyAlignment="1">
      <alignment horizontal="right" vertical="distributed"/>
    </xf>
    <xf numFmtId="196" fontId="1" fillId="51" borderId="13" xfId="43" applyNumberFormat="1" applyFont="1" applyFill="1" applyBorder="1" applyAlignment="1">
      <alignment horizontal="right" vertical="distributed"/>
    </xf>
    <xf numFmtId="198" fontId="1" fillId="51" borderId="13" xfId="43" applyNumberFormat="1" applyFont="1" applyFill="1" applyBorder="1" applyAlignment="1">
      <alignment horizontal="right"/>
    </xf>
    <xf numFmtId="196" fontId="1" fillId="51" borderId="13" xfId="43" applyNumberFormat="1" applyFont="1" applyFill="1" applyBorder="1" applyAlignment="1">
      <alignment horizontal="right"/>
    </xf>
    <xf numFmtId="201" fontId="1" fillId="51" borderId="13" xfId="43" applyNumberFormat="1" applyFont="1" applyFill="1" applyBorder="1" applyAlignment="1">
      <alignment horizontal="right"/>
    </xf>
    <xf numFmtId="172" fontId="1" fillId="51" borderId="13" xfId="43" applyNumberFormat="1" applyFont="1" applyFill="1" applyBorder="1" applyAlignment="1">
      <alignment horizontal="right"/>
    </xf>
    <xf numFmtId="195" fontId="1" fillId="51" borderId="13" xfId="43" applyNumberFormat="1" applyFont="1" applyFill="1" applyBorder="1" applyAlignment="1">
      <alignment horizontal="right"/>
    </xf>
    <xf numFmtId="170" fontId="1" fillId="51" borderId="13" xfId="42" applyNumberFormat="1" applyFont="1" applyFill="1" applyBorder="1" applyAlignment="1">
      <alignment horizontal="center"/>
    </xf>
    <xf numFmtId="170" fontId="1" fillId="51" borderId="13" xfId="42" applyNumberFormat="1" applyFont="1" applyFill="1" applyBorder="1" applyAlignment="1" quotePrefix="1">
      <alignment horizontal="right"/>
    </xf>
    <xf numFmtId="170" fontId="1" fillId="51" borderId="15" xfId="42" applyNumberFormat="1" applyFont="1" applyFill="1" applyBorder="1" applyAlignment="1" quotePrefix="1">
      <alignment horizontal="center"/>
    </xf>
    <xf numFmtId="170" fontId="1" fillId="51" borderId="38" xfId="42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8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8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8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1" fillId="0" borderId="0" xfId="42" applyNumberFormat="1" applyFont="1" applyBorder="1" applyAlignment="1">
      <alignment horizontal="center"/>
    </xf>
    <xf numFmtId="0" fontId="19" fillId="34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128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41" borderId="129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52" borderId="40" xfId="0" applyFont="1" applyFill="1" applyBorder="1" applyAlignment="1">
      <alignment horizontal="center" vertical="center"/>
    </xf>
    <xf numFmtId="0" fontId="7" fillId="52" borderId="0" xfId="0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5" fillId="0" borderId="130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" fillId="53" borderId="132" xfId="0" applyFont="1" applyFill="1" applyBorder="1" applyAlignment="1">
      <alignment horizontal="center" vertical="center"/>
    </xf>
    <xf numFmtId="0" fontId="1" fillId="53" borderId="133" xfId="0" applyFont="1" applyFill="1" applyBorder="1" applyAlignment="1">
      <alignment horizontal="center" vertical="center"/>
    </xf>
    <xf numFmtId="0" fontId="1" fillId="53" borderId="42" xfId="0" applyFont="1" applyFill="1" applyBorder="1" applyAlignment="1">
      <alignment horizontal="center" vertical="center"/>
    </xf>
    <xf numFmtId="0" fontId="1" fillId="53" borderId="28" xfId="0" applyFont="1" applyFill="1" applyBorder="1" applyAlignment="1">
      <alignment horizontal="center" vertical="center"/>
    </xf>
    <xf numFmtId="0" fontId="1" fillId="53" borderId="134" xfId="0" applyFont="1" applyFill="1" applyBorder="1" applyAlignment="1">
      <alignment horizontal="center" vertical="center"/>
    </xf>
    <xf numFmtId="0" fontId="1" fillId="53" borderId="127" xfId="0" applyFont="1" applyFill="1" applyBorder="1" applyAlignment="1">
      <alignment horizontal="center" vertical="center"/>
    </xf>
    <xf numFmtId="0" fontId="2" fillId="41" borderId="135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1" borderId="137" xfId="0" applyFont="1" applyFill="1" applyBorder="1" applyAlignment="1">
      <alignment horizontal="center" vertical="center"/>
    </xf>
    <xf numFmtId="0" fontId="2" fillId="41" borderId="124" xfId="0" applyFont="1" applyFill="1" applyBorder="1" applyAlignment="1">
      <alignment horizontal="center" vertical="center"/>
    </xf>
    <xf numFmtId="0" fontId="2" fillId="52" borderId="73" xfId="0" applyFont="1" applyFill="1" applyBorder="1" applyAlignment="1">
      <alignment horizontal="center" vertical="center"/>
    </xf>
    <xf numFmtId="0" fontId="2" fillId="41" borderId="73" xfId="0" applyFont="1" applyFill="1" applyBorder="1" applyAlignment="1">
      <alignment horizontal="center"/>
    </xf>
    <xf numFmtId="0" fontId="2" fillId="41" borderId="117" xfId="0" applyFont="1" applyFill="1" applyBorder="1" applyAlignment="1">
      <alignment horizontal="center"/>
    </xf>
    <xf numFmtId="0" fontId="2" fillId="41" borderId="138" xfId="0" applyFon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2" fillId="53" borderId="140" xfId="0" applyFont="1" applyFill="1" applyBorder="1" applyAlignment="1">
      <alignment horizontal="center" vertical="center"/>
    </xf>
    <xf numFmtId="0" fontId="1" fillId="53" borderId="26" xfId="0" applyFont="1" applyFill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09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101" xfId="0" applyBorder="1" applyAlignment="1">
      <alignment horizontal="center"/>
    </xf>
    <xf numFmtId="174" fontId="17" fillId="0" borderId="94" xfId="42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0" fillId="0" borderId="13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4" fontId="17" fillId="0" borderId="18" xfId="42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1745"/>
          <c:w val="0.803"/>
          <c:h val="0.7002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'REKAP 5 TH'!$B$10:$B$15</c:f>
              <c:strCache/>
            </c:strRef>
          </c:cat>
          <c:val>
            <c:numRef>
              <c:f>'REKAP 5 TH'!$C$10:$C$15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TH'!$B$10:$B$15</c:f>
              <c:strCache/>
            </c:strRef>
          </c:cat>
          <c:val>
            <c:numRef>
              <c:f>'REKAP 5 TH'!$J$10:$J$15</c:f>
              <c:numCache/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1"/>
        <c:majorTickMark val="out"/>
        <c:minorTickMark val="none"/>
        <c:tickLblPos val="nextTo"/>
        <c:crossAx val="22934626"/>
        <c:crossesAt val="0.5"/>
        <c:auto val="1"/>
        <c:lblOffset val="100"/>
        <c:tickLblSkip val="1"/>
        <c:noMultiLvlLbl val="0"/>
      </c:catAx>
      <c:valAx>
        <c:axId val="22934626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913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6"/>
          <c:w val="0.81725"/>
          <c:h val="0.72925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PROP'!$J$10:$J$15</c:f>
              <c:numCache/>
            </c:numRef>
          </c:val>
          <c:smooth val="0"/>
        </c:ser>
        <c:marker val="1"/>
        <c:axId val="5085043"/>
        <c:axId val="45765388"/>
      </c:lineChart>
      <c:catAx>
        <c:axId val="508504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1"/>
        <c:majorTickMark val="out"/>
        <c:minorTickMark val="none"/>
        <c:tickLblPos val="nextTo"/>
        <c:crossAx val="45765388"/>
        <c:crossesAt val="0.5"/>
        <c:auto val="1"/>
        <c:lblOffset val="100"/>
        <c:tickLblSkip val="1"/>
        <c:noMultiLvlLbl val="0"/>
      </c:catAx>
      <c:valAx>
        <c:axId val="45765388"/>
        <c:scaling>
          <c:orientation val="minMax"/>
          <c:max val="1.1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043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>
        <c:manualLayout>
          <c:xMode val="factor"/>
          <c:yMode val="factor"/>
          <c:x val="-0.19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025"/>
          <c:w val="0.8915"/>
          <c:h val="0.7785"/>
        </c:manualLayout>
      </c:layout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'BENG.SOLO'!$J$11:$J$54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</c:ser>
        <c:gapWidth val="100"/>
        <c:axId val="9235309"/>
        <c:axId val="16008918"/>
      </c:barChart>
      <c:catAx>
        <c:axId val="92353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918"/>
        <c:crossesAt val="0.1"/>
        <c:auto val="1"/>
        <c:lblOffset val="100"/>
        <c:tickLblSkip val="1"/>
        <c:noMultiLvlLbl val="0"/>
      </c:catAx>
      <c:valAx>
        <c:axId val="160089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75"/>
          <c:y val="0.91475"/>
          <c:w val="0.2505"/>
          <c:h val="0.0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1575"/>
          <c:w val="0.91875"/>
          <c:h val="0.7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marker val="1"/>
        <c:axId val="9862535"/>
        <c:axId val="21653952"/>
      </c:lineChart>
      <c:catAx>
        <c:axId val="986253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0.12425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653952"/>
        <c:crosses val="autoZero"/>
        <c:auto val="0"/>
        <c:lblOffset val="100"/>
        <c:tickLblSkip val="1"/>
        <c:noMultiLvlLbl val="0"/>
      </c:catAx>
      <c:valAx>
        <c:axId val="21653952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986253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.09325"/>
          <c:w val="0.918"/>
          <c:h val="0.91"/>
        </c:manualLayout>
      </c:layout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Ref>
              <c:f>'PROB-SCIT'!$L$10:$L$48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0667841"/>
        <c:axId val="9139658"/>
      </c:lineChart>
      <c:catAx>
        <c:axId val="60667841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658"/>
        <c:crossesAt val="1"/>
        <c:auto val="1"/>
        <c:lblOffset val="100"/>
        <c:tickLblSkip val="1"/>
        <c:noMultiLvlLbl val="0"/>
      </c:catAx>
      <c:valAx>
        <c:axId val="91396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67841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25"/>
          <c:y val="0.115"/>
          <c:w val="0.91525"/>
          <c:h val="0.8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'PC-JT-SL'!$D$15:$D$70</c:f>
              <c:strCache/>
            </c:strRef>
          </c:cat>
          <c:val>
            <c:numRef>
              <c:f>'PC-JT-SL'!$L$15:$L$70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5148059"/>
        <c:axId val="2114804"/>
      </c:lineChart>
      <c:catAx>
        <c:axId val="151480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804"/>
        <c:crossesAt val="0.5"/>
        <c:auto val="1"/>
        <c:lblOffset val="100"/>
        <c:tickLblSkip val="1"/>
        <c:noMultiLvlLbl val="0"/>
      </c:catAx>
      <c:valAx>
        <c:axId val="2114804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805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Faktor  K  Bendung-bendung pada Balai PSDA Pemali Comal, Jratun dan Seluna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 I  ( tgl. 03 s/d 09  Januari  2011 )</a:t>
            </a:r>
          </a:p>
        </c:rich>
      </c:tx>
      <c:layout>
        <c:manualLayout>
          <c:xMode val="factor"/>
          <c:yMode val="factor"/>
          <c:x val="0.002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7975"/>
          <c:w val="0.867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Ref>
              <c:f>'PC-JT-SL'!$L$12:$L$67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9033237"/>
        <c:axId val="37081406"/>
      </c:lineChart>
      <c:catAx>
        <c:axId val="190332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81406"/>
        <c:crossesAt val="0.5"/>
        <c:auto val="1"/>
        <c:lblOffset val="100"/>
        <c:tickLblSkip val="1"/>
        <c:noMultiLvlLbl val="0"/>
      </c:catAx>
      <c:valAx>
        <c:axId val="37081406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323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'PC-JT-SL'!$L$12:$L$67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0.8021390374331551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0.9076233183856501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0.8111111111111111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9">
                  <c:v>0</c:v>
                </c:pt>
                <c:pt idx="50">
                  <c:v>0.26605504587155965</c:v>
                </c:pt>
                <c:pt idx="51">
                  <c:v>1</c:v>
                </c:pt>
                <c:pt idx="52">
                  <c:v>0.805921052631579</c:v>
                </c:pt>
                <c:pt idx="53">
                  <c:v>0.4194139194139194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5297199"/>
        <c:axId val="50803880"/>
      </c:lineChart>
      <c:catAx>
        <c:axId val="65297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3880"/>
        <c:crossesAt val="0.5"/>
        <c:auto val="1"/>
        <c:lblOffset val="100"/>
        <c:tickLblSkip val="1"/>
        <c:noMultiLvlLbl val="0"/>
      </c:catAx>
      <c:valAx>
        <c:axId val="50803880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19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18</xdr:row>
      <xdr:rowOff>47625</xdr:rowOff>
    </xdr:from>
    <xdr:to>
      <xdr:col>11</xdr:col>
      <xdr:colOff>76200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847725" y="4505325"/>
        <a:ext cx="88392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19</xdr:row>
      <xdr:rowOff>47625</xdr:rowOff>
    </xdr:from>
    <xdr:to>
      <xdr:col>11</xdr:col>
      <xdr:colOff>76200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847725" y="4867275"/>
        <a:ext cx="88392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0.08875</cdr:y>
    </cdr:from>
    <cdr:to>
      <cdr:x>0.53225</cdr:x>
      <cdr:y>0.13375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571500"/>
          <a:ext cx="510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0.0315</cdr:y>
    </cdr:from>
    <cdr:to>
      <cdr:x>0.74425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200025"/>
          <a:ext cx="72199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76200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10086975" y="1162050"/>
        <a:ext cx="12715875" cy="1058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57</xdr:row>
      <xdr:rowOff>19050</xdr:rowOff>
    </xdr:from>
    <xdr:to>
      <xdr:col>31</xdr:col>
      <xdr:colOff>161925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10229850" y="12030075"/>
        <a:ext cx="1082992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0.06225</cdr:y>
    </cdr:from>
    <cdr:to>
      <cdr:x>0.80425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790575"/>
          <a:ext cx="6477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0.01825</cdr:y>
    </cdr:from>
    <cdr:to>
      <cdr:x>0.96</cdr:x>
      <cdr:y>0.08475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228600"/>
          <a:ext cx="93630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7</xdr:row>
      <xdr:rowOff>180975</xdr:rowOff>
    </xdr:from>
    <xdr:to>
      <xdr:col>34</xdr:col>
      <xdr:colOff>381000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2877800" y="2095500"/>
        <a:ext cx="1087755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0.01575</cdr:y>
    </cdr:from>
    <cdr:to>
      <cdr:x>0.79725</cdr:x>
      <cdr:y>0.105</cdr:y>
    </cdr:to>
    <cdr:sp>
      <cdr:nvSpPr>
        <cdr:cNvPr id="1" name="TextBox 2"/>
        <cdr:cNvSpPr txBox="1">
          <a:spLocks noChangeArrowheads="1"/>
        </cdr:cNvSpPr>
      </cdr:nvSpPr>
      <cdr:spPr>
        <a:xfrm>
          <a:off x="428625" y="219075"/>
          <a:ext cx="96202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Grafik Faktor K Bendung Kontrol Point
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Balai PSDA Pemali Comal, Jratun dan Seluna
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Periode  Minggu  I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( tanggal   07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s/d  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13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  Juni   2010 )
</a:t>
          </a:r>
        </a:p>
      </cdr:txBody>
    </cdr:sp>
  </cdr:relSizeAnchor>
  <cdr:relSizeAnchor xmlns:cdr="http://schemas.openxmlformats.org/drawingml/2006/chartDrawing">
    <cdr:from>
      <cdr:x>-0.00275</cdr:x>
      <cdr:y>-0.00375</cdr:y>
    </cdr:from>
    <cdr:to>
      <cdr:x>-0.00125</cdr:x>
      <cdr:y>-0.003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19050" cy="9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-0.003</cdr:y>
    </cdr:from>
    <cdr:to>
      <cdr:x>-0.00125</cdr:x>
      <cdr:y>-0.00225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38099"/>
          <a:ext cx="19050" cy="9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5</xdr:row>
      <xdr:rowOff>190500</xdr:rowOff>
    </xdr:from>
    <xdr:to>
      <xdr:col>37</xdr:col>
      <xdr:colOff>219075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14268450" y="1676400"/>
        <a:ext cx="12611100" cy="1410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428625</xdr:colOff>
      <xdr:row>5</xdr:row>
      <xdr:rowOff>190500</xdr:rowOff>
    </xdr:from>
    <xdr:to>
      <xdr:col>37</xdr:col>
      <xdr:colOff>228600</xdr:colOff>
      <xdr:row>56</xdr:row>
      <xdr:rowOff>19050</xdr:rowOff>
    </xdr:to>
    <xdr:graphicFrame>
      <xdr:nvGraphicFramePr>
        <xdr:cNvPr id="2" name="Chart 1"/>
        <xdr:cNvGraphicFramePr/>
      </xdr:nvGraphicFramePr>
      <xdr:xfrm>
        <a:off x="14287500" y="1676400"/>
        <a:ext cx="12601575" cy="1410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57</xdr:col>
      <xdr:colOff>190500</xdr:colOff>
      <xdr:row>0</xdr:row>
      <xdr:rowOff>47625</xdr:rowOff>
    </xdr:from>
    <xdr:to>
      <xdr:col>61</xdr:col>
      <xdr:colOff>0</xdr:colOff>
      <xdr:row>4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795575" y="47625"/>
          <a:ext cx="24098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KEPADA  YTH 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1. KA BID SUNGAI, WADUK DAN PANTAI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2. KA BID IRIGASI &amp; AIR BAKU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DINAS PSDA PROVINSI JAWA TENGAH</a:t>
          </a:r>
        </a:p>
      </xdr:txBody>
    </xdr:sp>
    <xdr:clientData/>
  </xdr:twoCellAnchor>
  <xdr:twoCellAnchor>
    <xdr:from>
      <xdr:col>57</xdr:col>
      <xdr:colOff>190500</xdr:colOff>
      <xdr:row>0</xdr:row>
      <xdr:rowOff>47625</xdr:rowOff>
    </xdr:from>
    <xdr:to>
      <xdr:col>61</xdr:col>
      <xdr:colOff>0</xdr:colOff>
      <xdr:row>4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0795575" y="47625"/>
          <a:ext cx="24098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KEPADA  YTH 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1. KA BID SUNGAI, WADUK DAN PANTAI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2. KA BID IRIGASI &amp; AIR BAKU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DINAS PSDA PROVINSI JAWA TENGAH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antor\LOCALS~1\Temp\Rar$DI00.000\Kontrol%20poin%20Bendung%20MGGU%20ke%204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og"/>
      <sheetName val="Pusat"/>
      <sheetName val="Propin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5"/>
  <sheetViews>
    <sheetView tabSelected="1" zoomScalePageLayoutView="0" workbookViewId="0" topLeftCell="A19">
      <selection activeCell="B16" sqref="B16"/>
    </sheetView>
  </sheetViews>
  <sheetFormatPr defaultColWidth="9.140625" defaultRowHeight="12.75"/>
  <cols>
    <col min="2" max="2" width="19.28125" style="0" customWidth="1"/>
    <col min="3" max="3" width="10.8515625" style="0" customWidth="1"/>
    <col min="4" max="4" width="15.57421875" style="0" customWidth="1"/>
    <col min="5" max="5" width="15.140625" style="0" customWidth="1"/>
    <col min="6" max="6" width="14.00390625" style="0" customWidth="1"/>
    <col min="7" max="7" width="14.28125" style="0" customWidth="1"/>
    <col min="8" max="8" width="14.8515625" style="0" customWidth="1"/>
    <col min="9" max="9" width="13.8515625" style="0" customWidth="1"/>
    <col min="10" max="10" width="16.8515625" style="0" customWidth="1"/>
    <col min="11" max="11" width="0.2890625" style="0" customWidth="1"/>
  </cols>
  <sheetData>
    <row r="3" spans="2:12" ht="24.75">
      <c r="B3" s="508" t="s">
        <v>165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2:12" ht="24.75">
      <c r="B4" s="508" t="s">
        <v>433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2:12" ht="21.75"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ht="13.5" thickBot="1"/>
    <row r="7" spans="2:10" ht="22.5" customHeight="1" thickBot="1">
      <c r="B7" s="510" t="s">
        <v>432</v>
      </c>
      <c r="C7" s="511"/>
      <c r="D7" s="35" t="s">
        <v>51</v>
      </c>
      <c r="E7" s="35" t="s">
        <v>57</v>
      </c>
      <c r="F7" s="516" t="s">
        <v>54</v>
      </c>
      <c r="G7" s="517"/>
      <c r="H7" s="485" t="s">
        <v>57</v>
      </c>
      <c r="I7" s="484" t="s">
        <v>57</v>
      </c>
      <c r="J7" s="486"/>
    </row>
    <row r="8" spans="2:10" ht="22.5" customHeight="1">
      <c r="B8" s="512"/>
      <c r="C8" s="513"/>
      <c r="D8" s="33" t="s">
        <v>52</v>
      </c>
      <c r="E8" s="33" t="s">
        <v>62</v>
      </c>
      <c r="F8" s="34" t="s">
        <v>55</v>
      </c>
      <c r="G8" s="35" t="s">
        <v>56</v>
      </c>
      <c r="H8" s="2" t="s">
        <v>58</v>
      </c>
      <c r="I8" s="85" t="s">
        <v>59</v>
      </c>
      <c r="J8" s="487" t="s">
        <v>160</v>
      </c>
    </row>
    <row r="9" spans="2:10" ht="22.5" customHeight="1" thickBot="1">
      <c r="B9" s="514"/>
      <c r="C9" s="515"/>
      <c r="D9" s="33" t="s">
        <v>53</v>
      </c>
      <c r="E9" s="33" t="s">
        <v>98</v>
      </c>
      <c r="F9" s="36" t="s">
        <v>99</v>
      </c>
      <c r="G9" s="33" t="s">
        <v>98</v>
      </c>
      <c r="H9" s="3" t="s">
        <v>98</v>
      </c>
      <c r="I9" s="3" t="s">
        <v>98</v>
      </c>
      <c r="J9" s="487" t="s">
        <v>161</v>
      </c>
    </row>
    <row r="10" spans="2:11" ht="22.5" customHeight="1" thickBot="1" thickTop="1">
      <c r="B10" s="518" t="s">
        <v>434</v>
      </c>
      <c r="C10" s="519"/>
      <c r="D10" s="92">
        <v>238150</v>
      </c>
      <c r="E10" s="99">
        <v>45.52</v>
      </c>
      <c r="F10" s="99">
        <v>39.93</v>
      </c>
      <c r="G10" s="99">
        <v>41.05</v>
      </c>
      <c r="H10" s="99">
        <v>103.76</v>
      </c>
      <c r="I10" s="100">
        <v>97.66</v>
      </c>
      <c r="J10" s="436">
        <v>1</v>
      </c>
      <c r="K10" s="78"/>
    </row>
    <row r="11" spans="2:11" ht="22.5" customHeight="1" thickBot="1">
      <c r="B11" s="520" t="s">
        <v>435</v>
      </c>
      <c r="C11" s="515"/>
      <c r="D11" s="93">
        <v>247745</v>
      </c>
      <c r="E11" s="101">
        <v>27.6</v>
      </c>
      <c r="F11" s="101">
        <v>35.55</v>
      </c>
      <c r="G11" s="101">
        <v>62.9</v>
      </c>
      <c r="H11" s="101">
        <v>125.52</v>
      </c>
      <c r="I11" s="102">
        <v>100.19</v>
      </c>
      <c r="J11" s="437">
        <v>1</v>
      </c>
      <c r="K11" s="78"/>
    </row>
    <row r="12" spans="2:11" ht="22.5" customHeight="1" thickBot="1">
      <c r="B12" s="518" t="s">
        <v>436</v>
      </c>
      <c r="C12" s="519"/>
      <c r="D12" s="93">
        <v>353856</v>
      </c>
      <c r="E12" s="103">
        <v>791.96</v>
      </c>
      <c r="F12" s="101">
        <v>101.79</v>
      </c>
      <c r="G12" s="101">
        <v>136.11</v>
      </c>
      <c r="H12" s="101">
        <v>1026.85</v>
      </c>
      <c r="I12" s="102">
        <v>218.99</v>
      </c>
      <c r="J12" s="437">
        <v>1</v>
      </c>
      <c r="K12" s="78"/>
    </row>
    <row r="13" spans="2:11" ht="22.5" customHeight="1" thickBot="1">
      <c r="B13" s="518" t="s">
        <v>437</v>
      </c>
      <c r="C13" s="519"/>
      <c r="D13" s="93">
        <v>354280</v>
      </c>
      <c r="E13" s="101">
        <v>111.4</v>
      </c>
      <c r="F13" s="101">
        <v>61.72</v>
      </c>
      <c r="G13" s="101">
        <v>81.11</v>
      </c>
      <c r="H13" s="101">
        <v>253.03</v>
      </c>
      <c r="I13" s="102">
        <v>181.15</v>
      </c>
      <c r="J13" s="437">
        <v>1</v>
      </c>
      <c r="K13" s="78"/>
    </row>
    <row r="14" spans="2:11" ht="22.5" customHeight="1" thickBot="1">
      <c r="B14" s="518" t="s">
        <v>438</v>
      </c>
      <c r="C14" s="519"/>
      <c r="D14" s="93">
        <v>350714</v>
      </c>
      <c r="E14" s="101">
        <v>41.9</v>
      </c>
      <c r="F14" s="101">
        <v>85.8</v>
      </c>
      <c r="G14" s="101">
        <v>70.28</v>
      </c>
      <c r="H14" s="101">
        <v>197.98</v>
      </c>
      <c r="I14" s="102">
        <v>187.32</v>
      </c>
      <c r="J14" s="437">
        <v>1</v>
      </c>
      <c r="K14" s="78"/>
    </row>
    <row r="15" spans="2:11" ht="22.5" customHeight="1" thickBot="1">
      <c r="B15" s="520" t="s">
        <v>440</v>
      </c>
      <c r="C15" s="515"/>
      <c r="D15" s="93">
        <v>339342</v>
      </c>
      <c r="E15" s="101">
        <f>'REKAP PROP'!E16</f>
        <v>643.5101</v>
      </c>
      <c r="F15" s="101">
        <f>'REKAP PROP'!F16</f>
        <v>152.324</v>
      </c>
      <c r="G15" s="101">
        <f>'REKAP PROP'!G16</f>
        <v>106.852</v>
      </c>
      <c r="H15" s="101">
        <f>'REKAP PROP'!H16</f>
        <v>915.4851</v>
      </c>
      <c r="I15" s="102">
        <f>'REKAP PROP'!I16</f>
        <v>274.1396</v>
      </c>
      <c r="J15" s="488">
        <v>1</v>
      </c>
      <c r="K15" s="78"/>
    </row>
  </sheetData>
  <sheetProtection/>
  <mergeCells count="11">
    <mergeCell ref="B11:C11"/>
    <mergeCell ref="B12:C12"/>
    <mergeCell ref="B13:C13"/>
    <mergeCell ref="B14:C14"/>
    <mergeCell ref="B15:C15"/>
    <mergeCell ref="B3:L3"/>
    <mergeCell ref="B4:L4"/>
    <mergeCell ref="B5:L5"/>
    <mergeCell ref="B7:C9"/>
    <mergeCell ref="F7:G7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4">
      <selection activeCell="H15" sqref="H15"/>
    </sheetView>
  </sheetViews>
  <sheetFormatPr defaultColWidth="9.140625" defaultRowHeight="12.75"/>
  <cols>
    <col min="2" max="2" width="19.28125" style="0" customWidth="1"/>
    <col min="3" max="3" width="10.8515625" style="0" customWidth="1"/>
    <col min="4" max="4" width="15.57421875" style="0" customWidth="1"/>
    <col min="5" max="5" width="15.140625" style="0" customWidth="1"/>
    <col min="6" max="6" width="14.00390625" style="0" customWidth="1"/>
    <col min="7" max="7" width="14.28125" style="0" customWidth="1"/>
    <col min="8" max="8" width="14.8515625" style="0" customWidth="1"/>
    <col min="9" max="9" width="13.8515625" style="0" customWidth="1"/>
    <col min="10" max="10" width="16.8515625" style="0" customWidth="1"/>
    <col min="11" max="11" width="0.2890625" style="0" customWidth="1"/>
  </cols>
  <sheetData>
    <row r="3" spans="2:12" ht="24.75">
      <c r="B3" s="508" t="s">
        <v>165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2:12" ht="24.75">
      <c r="B4" s="508" t="s">
        <v>164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2:12" ht="21.75">
      <c r="B5" s="509" t="str">
        <f>+'BENG.SOLO'!A4</f>
        <v>MINGGU   ke  I ( Tgl. 29 Juli  s/d 5 Agustus  2013 )  </v>
      </c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ht="13.5" thickBot="1"/>
    <row r="7" spans="2:10" ht="22.5" customHeight="1" thickBot="1" thickTop="1">
      <c r="B7" s="510" t="s">
        <v>163</v>
      </c>
      <c r="C7" s="511"/>
      <c r="D7" s="32" t="s">
        <v>51</v>
      </c>
      <c r="E7" s="32" t="s">
        <v>57</v>
      </c>
      <c r="F7" s="524" t="s">
        <v>54</v>
      </c>
      <c r="G7" s="525"/>
      <c r="H7" s="25" t="s">
        <v>57</v>
      </c>
      <c r="I7" s="83" t="s">
        <v>57</v>
      </c>
      <c r="J7" s="90"/>
    </row>
    <row r="8" spans="2:10" ht="22.5" customHeight="1">
      <c r="B8" s="512"/>
      <c r="C8" s="513"/>
      <c r="D8" s="33" t="s">
        <v>52</v>
      </c>
      <c r="E8" s="33" t="s">
        <v>62</v>
      </c>
      <c r="F8" s="34" t="s">
        <v>55</v>
      </c>
      <c r="G8" s="35" t="s">
        <v>56</v>
      </c>
      <c r="H8" s="2" t="s">
        <v>58</v>
      </c>
      <c r="I8" s="85" t="s">
        <v>59</v>
      </c>
      <c r="J8" s="91" t="s">
        <v>160</v>
      </c>
    </row>
    <row r="9" spans="2:10" ht="22.5" customHeight="1" thickBot="1">
      <c r="B9" s="514"/>
      <c r="C9" s="515"/>
      <c r="D9" s="33" t="s">
        <v>53</v>
      </c>
      <c r="E9" s="33" t="s">
        <v>98</v>
      </c>
      <c r="F9" s="36" t="s">
        <v>99</v>
      </c>
      <c r="G9" s="33" t="s">
        <v>98</v>
      </c>
      <c r="H9" s="3" t="s">
        <v>98</v>
      </c>
      <c r="I9" s="3" t="s">
        <v>98</v>
      </c>
      <c r="J9" s="91" t="s">
        <v>161</v>
      </c>
    </row>
    <row r="10" spans="2:11" ht="22.5" customHeight="1" thickBot="1" thickTop="1">
      <c r="B10" s="518" t="s">
        <v>74</v>
      </c>
      <c r="C10" s="519"/>
      <c r="D10" s="92">
        <f>+'PC-JT-SL'!F42</f>
        <v>55144.16499999999</v>
      </c>
      <c r="E10" s="99">
        <f>+'PC-JT-SL'!G42</f>
        <v>105.08360000000002</v>
      </c>
      <c r="F10" s="99">
        <f>+'PC-JT-SL'!H42</f>
        <v>25.805000000000003</v>
      </c>
      <c r="G10" s="99">
        <f>+'PC-JT-SL'!I42</f>
        <v>52.254</v>
      </c>
      <c r="H10" s="99">
        <f>+'PC-JT-SL'!J42</f>
        <v>183.14260000000002</v>
      </c>
      <c r="I10" s="100">
        <f>+'PC-JT-SL'!K42</f>
        <v>87.50359999999999</v>
      </c>
      <c r="J10" s="436">
        <v>1</v>
      </c>
      <c r="K10" s="78"/>
    </row>
    <row r="11" spans="2:11" ht="22.5" customHeight="1" thickBot="1">
      <c r="B11" s="520" t="s">
        <v>166</v>
      </c>
      <c r="C11" s="515"/>
      <c r="D11" s="93">
        <f>+'PC-JT-SL'!F55</f>
        <v>43824.06</v>
      </c>
      <c r="E11" s="101">
        <f>+'PC-JT-SL'!G55</f>
        <v>46.07100000000001</v>
      </c>
      <c r="F11" s="101">
        <f>+'PC-JT-SL'!H55</f>
        <v>35.879</v>
      </c>
      <c r="G11" s="101">
        <f>+'PC-JT-SL'!I55</f>
        <v>15.475999999999999</v>
      </c>
      <c r="H11" s="101">
        <f>+'PC-JT-SL'!J55</f>
        <v>109.502</v>
      </c>
      <c r="I11" s="102">
        <f>+'PC-JT-SL'!K55</f>
        <v>51.355000000000004</v>
      </c>
      <c r="J11" s="437">
        <v>1</v>
      </c>
      <c r="K11" s="78"/>
    </row>
    <row r="12" spans="2:11" ht="22.5" customHeight="1" thickBot="1">
      <c r="B12" s="518" t="s">
        <v>145</v>
      </c>
      <c r="C12" s="519"/>
      <c r="D12" s="93">
        <f>+'PC-JT-SL'!F71</f>
        <v>80163</v>
      </c>
      <c r="E12" s="103">
        <f>+'PC-JT-SL'!G71</f>
        <v>0.522</v>
      </c>
      <c r="F12" s="101">
        <f>+'PC-JT-SL'!H71</f>
        <v>1.3890000000000002</v>
      </c>
      <c r="G12" s="101">
        <f>+'PC-JT-SL'!I71</f>
        <v>1.131</v>
      </c>
      <c r="H12" s="101">
        <f>+'PC-JT-SL'!J71</f>
        <v>3.0420000000000003</v>
      </c>
      <c r="I12" s="102">
        <f>+'PC-JT-SL'!K71</f>
        <v>2.652</v>
      </c>
      <c r="J12" s="437">
        <v>1</v>
      </c>
      <c r="K12" s="78"/>
    </row>
    <row r="13" spans="2:11" ht="22.5" customHeight="1" thickBot="1">
      <c r="B13" s="518" t="s">
        <v>80</v>
      </c>
      <c r="C13" s="519"/>
      <c r="D13" s="93">
        <f>+'BENG.SOLO'!F55</f>
        <v>46831.5</v>
      </c>
      <c r="E13" s="101">
        <f>+'BENG.SOLO'!G55</f>
        <v>125.988</v>
      </c>
      <c r="F13" s="101">
        <f>+'BENG.SOLO'!H55</f>
        <v>26.000000000000004</v>
      </c>
      <c r="G13" s="101">
        <f>+'BENG.SOLO'!I55</f>
        <v>10.091000000000001</v>
      </c>
      <c r="H13" s="101">
        <f>+'BENG.SOLO'!J55</f>
        <v>162.802</v>
      </c>
      <c r="I13" s="102">
        <f>+'BENG.SOLO'!K55</f>
        <v>36.38199999999999</v>
      </c>
      <c r="J13" s="437">
        <v>1</v>
      </c>
      <c r="K13" s="78"/>
    </row>
    <row r="14" spans="2:11" ht="22.5" customHeight="1" thickBot="1">
      <c r="B14" s="518" t="s">
        <v>82</v>
      </c>
      <c r="C14" s="519"/>
      <c r="D14" s="93">
        <f>+'PROB-SCIT'!F50</f>
        <v>51572</v>
      </c>
      <c r="E14" s="101">
        <f>+'PROB-SCIT'!G50</f>
        <v>10.316000000000003</v>
      </c>
      <c r="F14" s="101">
        <f>+'PROB-SCIT'!H50</f>
        <v>7.891</v>
      </c>
      <c r="G14" s="101">
        <f>+'PROB-SCIT'!I50</f>
        <v>15.423</v>
      </c>
      <c r="H14" s="101">
        <f>+'PROB-SCIT'!J50</f>
        <v>33.629999999999995</v>
      </c>
      <c r="I14" s="102">
        <f>+'PROB-SCIT'!K50</f>
        <v>39.578</v>
      </c>
      <c r="J14" s="437">
        <v>1</v>
      </c>
      <c r="K14" s="78"/>
    </row>
    <row r="15" spans="2:11" ht="22.5" customHeight="1" thickBot="1">
      <c r="B15" s="523" t="s">
        <v>84</v>
      </c>
      <c r="C15" s="513"/>
      <c r="D15" s="481">
        <f>+'PROB-SCIT'!F49</f>
        <v>61807.751</v>
      </c>
      <c r="E15" s="482">
        <f>+'PROB-SCIT'!G49</f>
        <v>355.5294999999999</v>
      </c>
      <c r="F15" s="482">
        <f>+'PROB-SCIT'!H49</f>
        <v>55.36</v>
      </c>
      <c r="G15" s="482">
        <f>+'PROB-SCIT'!I49</f>
        <v>12.477</v>
      </c>
      <c r="H15" s="482">
        <f>+'PROB-SCIT'!J49</f>
        <v>423.3665</v>
      </c>
      <c r="I15" s="483">
        <f>+'PROB-SCIT'!K49</f>
        <v>56.669000000000004</v>
      </c>
      <c r="J15" s="437">
        <v>1</v>
      </c>
      <c r="K15" s="78"/>
    </row>
    <row r="16" spans="2:10" ht="28.5" customHeight="1" thickBot="1">
      <c r="B16" s="521" t="s">
        <v>431</v>
      </c>
      <c r="C16" s="522"/>
      <c r="D16" s="489">
        <f aca="true" t="shared" si="0" ref="D16:I16">SUM(D10:D15)</f>
        <v>339342.47599999997</v>
      </c>
      <c r="E16" s="489">
        <f t="shared" si="0"/>
        <v>643.5101</v>
      </c>
      <c r="F16" s="489">
        <f t="shared" si="0"/>
        <v>152.324</v>
      </c>
      <c r="G16" s="489">
        <f t="shared" si="0"/>
        <v>106.852</v>
      </c>
      <c r="H16" s="489">
        <f t="shared" si="0"/>
        <v>915.4851</v>
      </c>
      <c r="I16" s="489">
        <f t="shared" si="0"/>
        <v>274.1396</v>
      </c>
      <c r="J16" s="490"/>
    </row>
  </sheetData>
  <sheetProtection/>
  <mergeCells count="12">
    <mergeCell ref="B13:C13"/>
    <mergeCell ref="B7:C9"/>
    <mergeCell ref="B5:L5"/>
    <mergeCell ref="B3:L3"/>
    <mergeCell ref="B4:L4"/>
    <mergeCell ref="B14:C14"/>
    <mergeCell ref="B16:C16"/>
    <mergeCell ref="B15:C15"/>
    <mergeCell ref="F7:G7"/>
    <mergeCell ref="B10:C10"/>
    <mergeCell ref="B11:C11"/>
    <mergeCell ref="B12:C12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69"/>
  <sheetViews>
    <sheetView zoomScale="150" zoomScaleNormal="150" zoomScalePageLayoutView="0" workbookViewId="0" topLeftCell="A6">
      <pane xSplit="9765" ySplit="1980" topLeftCell="G49" activePane="bottomRight" state="split"/>
      <selection pane="topLeft" activeCell="A6" sqref="A6"/>
      <selection pane="topRight" activeCell="G6" sqref="G6"/>
      <selection pane="bottomLeft" activeCell="A9" sqref="A9"/>
      <selection pane="bottomRight" activeCell="I55" sqref="I55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0.71875" style="0" customWidth="1"/>
    <col min="4" max="4" width="13.8515625" style="0" customWidth="1"/>
    <col min="5" max="5" width="12.28125" style="0" customWidth="1"/>
    <col min="6" max="6" width="11.28125" style="0" customWidth="1"/>
    <col min="7" max="7" width="9.42187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customWidth="1"/>
    <col min="14" max="14" width="13.421875" style="0" customWidth="1"/>
    <col min="15" max="15" width="12.57421875" style="0" customWidth="1"/>
    <col min="16" max="16" width="11.140625" style="0" customWidth="1"/>
    <col min="17" max="18" width="11.57421875" style="0" customWidth="1"/>
    <col min="19" max="19" width="15.57421875" style="0" customWidth="1"/>
    <col min="39" max="39" width="17.57421875" style="0" customWidth="1"/>
    <col min="40" max="40" width="12.7109375" style="0" customWidth="1"/>
    <col min="41" max="41" width="13.421875" style="0" customWidth="1"/>
  </cols>
  <sheetData>
    <row r="2" spans="1:19" ht="22.5">
      <c r="A2" s="530" t="s">
        <v>254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1"/>
      <c r="N2" s="51"/>
      <c r="O2" s="51"/>
      <c r="P2" s="51"/>
      <c r="Q2" s="51"/>
      <c r="R2" s="51"/>
      <c r="S2" s="51"/>
    </row>
    <row r="3" spans="1:19" ht="22.5">
      <c r="A3" s="530" t="s">
        <v>140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1"/>
      <c r="N3" s="51"/>
      <c r="O3" s="51"/>
      <c r="P3" s="51"/>
      <c r="Q3" s="51"/>
      <c r="R3" s="51"/>
      <c r="S3" s="51"/>
    </row>
    <row r="4" spans="1:19" ht="22.5">
      <c r="A4" s="530" t="str">
        <f>+'PC-JT-SL'!A5:L5</f>
        <v>MINGGU   ke  I ( Tgl. 29 Juli  s/d 5 Agustus  2013 )  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1"/>
      <c r="N4" s="51"/>
      <c r="O4" s="51"/>
      <c r="P4" s="51"/>
      <c r="Q4" s="51"/>
      <c r="R4" s="51"/>
      <c r="S4" s="51"/>
    </row>
    <row r="5" spans="1:19" ht="15.75" thickBot="1">
      <c r="A5" s="1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6" ht="17.25" customHeight="1" thickBot="1" thickTop="1">
      <c r="A6" s="531" t="s">
        <v>0</v>
      </c>
      <c r="B6" s="541" t="s">
        <v>337</v>
      </c>
      <c r="C6" s="542"/>
      <c r="D6" s="533" t="s">
        <v>4</v>
      </c>
      <c r="E6" s="398"/>
      <c r="F6" s="144" t="s">
        <v>51</v>
      </c>
      <c r="G6" s="146" t="s">
        <v>57</v>
      </c>
      <c r="H6" s="535" t="s">
        <v>54</v>
      </c>
      <c r="I6" s="536"/>
      <c r="J6" s="150" t="s">
        <v>57</v>
      </c>
      <c r="K6" s="152" t="s">
        <v>57</v>
      </c>
      <c r="L6" s="155" t="s">
        <v>60</v>
      </c>
      <c r="M6" s="527" t="s">
        <v>178</v>
      </c>
      <c r="N6" s="138"/>
      <c r="O6" s="191"/>
      <c r="P6" s="55"/>
      <c r="Q6" s="55"/>
      <c r="R6" s="55"/>
      <c r="S6" s="55"/>
      <c r="Z6" s="229"/>
    </row>
    <row r="7" spans="1:19" ht="15.75" customHeight="1">
      <c r="A7" s="532"/>
      <c r="B7" s="543"/>
      <c r="C7" s="544"/>
      <c r="D7" s="534"/>
      <c r="E7" s="399" t="s">
        <v>329</v>
      </c>
      <c r="F7" s="145" t="s">
        <v>52</v>
      </c>
      <c r="G7" s="147" t="s">
        <v>62</v>
      </c>
      <c r="H7" s="148" t="s">
        <v>55</v>
      </c>
      <c r="I7" s="149" t="s">
        <v>56</v>
      </c>
      <c r="J7" s="151" t="s">
        <v>58</v>
      </c>
      <c r="K7" s="153" t="s">
        <v>338</v>
      </c>
      <c r="L7" s="547" t="s">
        <v>61</v>
      </c>
      <c r="M7" s="528"/>
      <c r="N7" s="139" t="s">
        <v>179</v>
      </c>
      <c r="O7" s="192"/>
      <c r="P7" s="55"/>
      <c r="Q7" s="55"/>
      <c r="R7" s="55"/>
      <c r="S7" s="55"/>
    </row>
    <row r="8" spans="1:19" ht="19.5" thickBot="1">
      <c r="A8" s="532"/>
      <c r="B8" s="545"/>
      <c r="C8" s="546"/>
      <c r="D8" s="534"/>
      <c r="E8" s="400"/>
      <c r="F8" s="145" t="s">
        <v>53</v>
      </c>
      <c r="G8" s="158" t="s">
        <v>98</v>
      </c>
      <c r="H8" s="159" t="s">
        <v>98</v>
      </c>
      <c r="I8" s="160" t="s">
        <v>98</v>
      </c>
      <c r="J8" s="156" t="s">
        <v>98</v>
      </c>
      <c r="K8" s="157" t="s">
        <v>98</v>
      </c>
      <c r="L8" s="548"/>
      <c r="M8" s="529"/>
      <c r="N8" s="140"/>
      <c r="O8" s="193"/>
      <c r="P8" s="55"/>
      <c r="Q8" s="55"/>
      <c r="R8" s="55"/>
      <c r="S8" s="55"/>
    </row>
    <row r="9" spans="1:19" ht="16.5" thickBot="1">
      <c r="A9" s="161">
        <v>1</v>
      </c>
      <c r="B9" s="162">
        <v>2</v>
      </c>
      <c r="C9" s="163"/>
      <c r="D9" s="164">
        <v>3</v>
      </c>
      <c r="E9" s="164"/>
      <c r="F9" s="164">
        <v>4</v>
      </c>
      <c r="G9" s="164">
        <v>5</v>
      </c>
      <c r="H9" s="164">
        <v>6</v>
      </c>
      <c r="I9" s="164">
        <v>7</v>
      </c>
      <c r="J9" s="164" t="s">
        <v>64</v>
      </c>
      <c r="K9" s="164">
        <v>9</v>
      </c>
      <c r="L9" s="165">
        <v>10</v>
      </c>
      <c r="M9" s="125"/>
      <c r="N9" s="131"/>
      <c r="O9" s="55"/>
      <c r="P9" s="55"/>
      <c r="Q9" s="55"/>
      <c r="R9" s="55"/>
      <c r="S9" s="55"/>
    </row>
    <row r="10" spans="1:41" ht="19.5" thickBot="1" thickTop="1">
      <c r="A10" s="194" t="s">
        <v>79</v>
      </c>
      <c r="B10" s="539" t="s">
        <v>80</v>
      </c>
      <c r="C10" s="540"/>
      <c r="D10" s="540"/>
      <c r="E10" s="407"/>
      <c r="F10" s="195"/>
      <c r="G10" s="196"/>
      <c r="H10" s="197"/>
      <c r="I10" s="197"/>
      <c r="J10" s="198"/>
      <c r="K10" s="198"/>
      <c r="L10" s="199"/>
      <c r="M10" s="126"/>
      <c r="N10" s="132"/>
      <c r="O10" s="56"/>
      <c r="P10" s="56"/>
      <c r="Q10" s="56"/>
      <c r="R10" s="56"/>
      <c r="S10" s="56"/>
      <c r="AN10" s="45" t="s">
        <v>113</v>
      </c>
      <c r="AO10" s="45" t="s">
        <v>114</v>
      </c>
    </row>
    <row r="11" spans="1:41" ht="27" customHeight="1" thickTop="1">
      <c r="A11" s="292">
        <v>1</v>
      </c>
      <c r="B11" s="433" t="s">
        <v>143</v>
      </c>
      <c r="C11" s="292"/>
      <c r="D11" s="464" t="s">
        <v>137</v>
      </c>
      <c r="E11" s="428" t="s">
        <v>383</v>
      </c>
      <c r="F11" s="200">
        <f>3030+7484+1888+439+1903+9717</f>
        <v>24461</v>
      </c>
      <c r="G11" s="495">
        <v>107.32</v>
      </c>
      <c r="H11" s="201">
        <v>17.07</v>
      </c>
      <c r="I11" s="201">
        <v>3.02</v>
      </c>
      <c r="J11" s="201">
        <f>I11+H11+G11</f>
        <v>127.41</v>
      </c>
      <c r="K11" s="202">
        <v>23</v>
      </c>
      <c r="L11" s="289">
        <f>IF(K11=0,0,(IF(J11/K11&gt;1,1,J11/K11)))</f>
        <v>1</v>
      </c>
      <c r="M11" s="127"/>
      <c r="N11" s="133"/>
      <c r="O11" s="142"/>
      <c r="P11" s="105" t="s">
        <v>168</v>
      </c>
      <c r="Q11" s="106" t="s">
        <v>38</v>
      </c>
      <c r="R11" s="110">
        <v>10514</v>
      </c>
      <c r="S11" s="68">
        <f>+J11/K11</f>
        <v>5.539565217391305</v>
      </c>
      <c r="AM11" s="45" t="s">
        <v>38</v>
      </c>
      <c r="AN11" s="46">
        <v>3030</v>
      </c>
      <c r="AO11" s="46">
        <v>7484</v>
      </c>
    </row>
    <row r="12" spans="1:41" ht="15.75">
      <c r="A12" s="294">
        <v>2</v>
      </c>
      <c r="B12" s="293" t="s">
        <v>29</v>
      </c>
      <c r="C12" s="294"/>
      <c r="D12" s="295" t="s">
        <v>30</v>
      </c>
      <c r="E12" s="429" t="s">
        <v>384</v>
      </c>
      <c r="F12" s="203">
        <v>650</v>
      </c>
      <c r="G12" s="495">
        <v>1.768</v>
      </c>
      <c r="H12" s="201">
        <v>0.555</v>
      </c>
      <c r="I12" s="201">
        <v>0</v>
      </c>
      <c r="J12" s="201">
        <f>G12+H12+I12</f>
        <v>2.323</v>
      </c>
      <c r="K12" s="230">
        <v>0.456</v>
      </c>
      <c r="L12" s="289">
        <f aca="true" t="shared" si="0" ref="L12:L55">IF(K12=0,0,(IF(J12/K12&gt;1,1,J12/K12)))</f>
        <v>1</v>
      </c>
      <c r="M12" s="128">
        <f>+K12*0.1+K12</f>
        <v>0.5016</v>
      </c>
      <c r="N12" s="133"/>
      <c r="O12" s="104"/>
      <c r="P12" s="104"/>
      <c r="Q12" s="106" t="s">
        <v>29</v>
      </c>
      <c r="R12" s="110">
        <v>1888</v>
      </c>
      <c r="S12" s="68">
        <f aca="true" t="shared" si="1" ref="S12:S55">+J12/K12</f>
        <v>5.094298245614035</v>
      </c>
      <c r="T12" s="1"/>
      <c r="AM12" s="5" t="s">
        <v>141</v>
      </c>
      <c r="AN12" s="58">
        <f>SUM(AN11:AN11)</f>
        <v>3030</v>
      </c>
      <c r="AO12" s="14">
        <f>SUM(AO11:AO11)</f>
        <v>7484</v>
      </c>
    </row>
    <row r="13" spans="1:41" ht="15.75">
      <c r="A13" s="294">
        <v>3</v>
      </c>
      <c r="B13" s="293" t="s">
        <v>29</v>
      </c>
      <c r="C13" s="294"/>
      <c r="D13" s="295" t="s">
        <v>100</v>
      </c>
      <c r="E13" s="429" t="s">
        <v>385</v>
      </c>
      <c r="F13" s="203">
        <v>1191</v>
      </c>
      <c r="G13" s="495">
        <v>0</v>
      </c>
      <c r="H13" s="201">
        <v>0.92</v>
      </c>
      <c r="I13" s="204">
        <v>0</v>
      </c>
      <c r="J13" s="201">
        <f aca="true" t="shared" si="2" ref="J13:J54">G13+H13+I13</f>
        <v>0.92</v>
      </c>
      <c r="K13" s="230">
        <v>0.79</v>
      </c>
      <c r="L13" s="289">
        <f t="shared" si="0"/>
        <v>1</v>
      </c>
      <c r="M13" s="128"/>
      <c r="N13" s="133"/>
      <c r="O13" s="104"/>
      <c r="P13" s="104"/>
      <c r="Q13" s="106" t="s">
        <v>1</v>
      </c>
      <c r="R13" s="110">
        <v>439</v>
      </c>
      <c r="S13" s="68">
        <f t="shared" si="1"/>
        <v>1.1645569620253164</v>
      </c>
      <c r="T13" s="1"/>
      <c r="AM13" s="5" t="s">
        <v>142</v>
      </c>
      <c r="AN13" s="58"/>
      <c r="AO13" s="14">
        <f>+AO12+AN12</f>
        <v>10514</v>
      </c>
    </row>
    <row r="14" spans="1:41" ht="15.75">
      <c r="A14" s="294">
        <f aca="true" t="shared" si="3" ref="A14:A54">+A13+1</f>
        <v>4</v>
      </c>
      <c r="B14" s="293" t="s">
        <v>29</v>
      </c>
      <c r="C14" s="294"/>
      <c r="D14" s="295" t="s">
        <v>101</v>
      </c>
      <c r="E14" s="429" t="s">
        <v>386</v>
      </c>
      <c r="F14" s="203">
        <v>1100</v>
      </c>
      <c r="G14" s="495">
        <v>2.033</v>
      </c>
      <c r="H14" s="201">
        <v>0.885</v>
      </c>
      <c r="I14" s="201">
        <v>0</v>
      </c>
      <c r="J14" s="201">
        <f t="shared" si="2"/>
        <v>2.918</v>
      </c>
      <c r="K14" s="230">
        <v>0.88</v>
      </c>
      <c r="L14" s="289">
        <f t="shared" si="0"/>
        <v>1</v>
      </c>
      <c r="M14" s="128"/>
      <c r="N14" s="133"/>
      <c r="O14" s="104"/>
      <c r="P14" s="68"/>
      <c r="Q14" s="108" t="s">
        <v>169</v>
      </c>
      <c r="R14" s="110">
        <v>1903</v>
      </c>
      <c r="S14" s="68">
        <f t="shared" si="1"/>
        <v>3.315909090909091</v>
      </c>
      <c r="T14" s="1"/>
      <c r="AM14" s="48"/>
      <c r="AN14" s="65"/>
      <c r="AO14" s="64"/>
    </row>
    <row r="15" spans="1:41" ht="15.75">
      <c r="A15" s="294">
        <f t="shared" si="3"/>
        <v>5</v>
      </c>
      <c r="B15" s="293" t="s">
        <v>33</v>
      </c>
      <c r="C15" s="294"/>
      <c r="D15" s="295" t="s">
        <v>39</v>
      </c>
      <c r="E15" s="429" t="s">
        <v>387</v>
      </c>
      <c r="F15" s="203">
        <v>550</v>
      </c>
      <c r="G15" s="495">
        <v>0</v>
      </c>
      <c r="H15" s="201">
        <v>0.175</v>
      </c>
      <c r="I15" s="201">
        <v>0.164</v>
      </c>
      <c r="J15" s="201">
        <f t="shared" si="2"/>
        <v>0.33899999999999997</v>
      </c>
      <c r="K15" s="230">
        <v>0.4</v>
      </c>
      <c r="L15" s="289">
        <f t="shared" si="0"/>
        <v>0.8474999999999999</v>
      </c>
      <c r="M15" s="128">
        <f>+K15*0.1+K15</f>
        <v>0.44000000000000006</v>
      </c>
      <c r="N15" s="133">
        <f>+I15</f>
        <v>0.164</v>
      </c>
      <c r="O15" s="104"/>
      <c r="P15" s="104"/>
      <c r="Q15" s="106" t="s">
        <v>33</v>
      </c>
      <c r="R15" s="110">
        <v>9717</v>
      </c>
      <c r="S15" s="68">
        <f t="shared" si="1"/>
        <v>0.8474999999999999</v>
      </c>
      <c r="T15" s="1"/>
      <c r="AM15" s="48"/>
      <c r="AN15" s="65"/>
      <c r="AO15" s="64"/>
    </row>
    <row r="16" spans="1:41" ht="15.75">
      <c r="A16" s="294">
        <f t="shared" si="3"/>
        <v>6</v>
      </c>
      <c r="B16" s="293" t="s">
        <v>1</v>
      </c>
      <c r="C16" s="294"/>
      <c r="D16" s="295" t="s">
        <v>28</v>
      </c>
      <c r="E16" s="429" t="s">
        <v>388</v>
      </c>
      <c r="F16" s="203">
        <v>637</v>
      </c>
      <c r="G16" s="495">
        <v>0</v>
      </c>
      <c r="H16" s="205">
        <v>0</v>
      </c>
      <c r="I16" s="201">
        <v>0.351</v>
      </c>
      <c r="J16" s="201">
        <f t="shared" si="2"/>
        <v>0.351</v>
      </c>
      <c r="K16" s="230">
        <v>0.075</v>
      </c>
      <c r="L16" s="289">
        <f t="shared" si="0"/>
        <v>1</v>
      </c>
      <c r="M16" s="128"/>
      <c r="N16" s="133"/>
      <c r="O16" s="104"/>
      <c r="P16" s="104"/>
      <c r="Q16" s="107"/>
      <c r="R16" s="109">
        <f>SUM(R11:R15)</f>
        <v>24461</v>
      </c>
      <c r="S16" s="68">
        <f t="shared" si="1"/>
        <v>4.68</v>
      </c>
      <c r="T16" s="1"/>
      <c r="AM16" s="48"/>
      <c r="AN16" s="65"/>
      <c r="AO16" s="64"/>
    </row>
    <row r="17" spans="1:20" ht="15.75">
      <c r="A17" s="294">
        <f t="shared" si="3"/>
        <v>7</v>
      </c>
      <c r="B17" s="293" t="s">
        <v>29</v>
      </c>
      <c r="C17" s="294"/>
      <c r="D17" s="295" t="s">
        <v>102</v>
      </c>
      <c r="E17" s="429" t="s">
        <v>389</v>
      </c>
      <c r="F17" s="203">
        <v>325</v>
      </c>
      <c r="G17" s="495">
        <v>0</v>
      </c>
      <c r="H17" s="201">
        <v>0.282</v>
      </c>
      <c r="I17" s="204">
        <v>0</v>
      </c>
      <c r="J17" s="201">
        <f t="shared" si="2"/>
        <v>0.282</v>
      </c>
      <c r="K17" s="230">
        <v>0.09</v>
      </c>
      <c r="L17" s="289">
        <f t="shared" si="0"/>
        <v>1</v>
      </c>
      <c r="M17" s="129"/>
      <c r="N17" s="134"/>
      <c r="O17" s="124"/>
      <c r="P17" s="526" t="s">
        <v>114</v>
      </c>
      <c r="Q17" s="526"/>
      <c r="R17" s="109">
        <f>+R13+R14+R15+R11</f>
        <v>22573</v>
      </c>
      <c r="S17" s="68">
        <f t="shared" si="1"/>
        <v>3.1333333333333333</v>
      </c>
      <c r="T17" s="1"/>
    </row>
    <row r="18" spans="1:20" ht="15.75">
      <c r="A18" s="294">
        <f t="shared" si="3"/>
        <v>8</v>
      </c>
      <c r="B18" s="293" t="s">
        <v>38</v>
      </c>
      <c r="C18" s="294"/>
      <c r="D18" s="295" t="s">
        <v>103</v>
      </c>
      <c r="E18" s="429" t="s">
        <v>387</v>
      </c>
      <c r="F18" s="203">
        <v>51</v>
      </c>
      <c r="G18" s="495">
        <v>0</v>
      </c>
      <c r="H18" s="201">
        <v>0.05</v>
      </c>
      <c r="I18" s="204">
        <v>0</v>
      </c>
      <c r="J18" s="201">
        <f t="shared" si="2"/>
        <v>0.05</v>
      </c>
      <c r="K18" s="230">
        <v>0.05</v>
      </c>
      <c r="L18" s="289">
        <f t="shared" si="0"/>
        <v>1</v>
      </c>
      <c r="M18" s="128"/>
      <c r="N18" s="133"/>
      <c r="O18" s="104"/>
      <c r="P18" s="526" t="s">
        <v>113</v>
      </c>
      <c r="Q18" s="526"/>
      <c r="R18" s="109">
        <f>+R12</f>
        <v>1888</v>
      </c>
      <c r="S18" s="68">
        <f t="shared" si="1"/>
        <v>1</v>
      </c>
      <c r="T18" s="1"/>
    </row>
    <row r="19" spans="1:20" ht="15.75">
      <c r="A19" s="294">
        <f t="shared" si="3"/>
        <v>9</v>
      </c>
      <c r="B19" s="293" t="s">
        <v>31</v>
      </c>
      <c r="C19" s="294"/>
      <c r="D19" s="295" t="s">
        <v>104</v>
      </c>
      <c r="E19" s="429" t="s">
        <v>390</v>
      </c>
      <c r="F19" s="203">
        <v>786</v>
      </c>
      <c r="G19" s="495">
        <v>0</v>
      </c>
      <c r="H19" s="201">
        <v>0</v>
      </c>
      <c r="I19" s="201">
        <v>0.32</v>
      </c>
      <c r="J19" s="201">
        <f t="shared" si="2"/>
        <v>0.32</v>
      </c>
      <c r="K19" s="230">
        <v>0.15</v>
      </c>
      <c r="L19" s="289">
        <f t="shared" si="0"/>
        <v>1</v>
      </c>
      <c r="M19" s="128"/>
      <c r="N19" s="133"/>
      <c r="O19" s="104"/>
      <c r="P19" s="104"/>
      <c r="Q19" s="104"/>
      <c r="R19" s="112" t="s">
        <v>2</v>
      </c>
      <c r="S19" s="68">
        <f t="shared" si="1"/>
        <v>2.1333333333333333</v>
      </c>
      <c r="T19" s="1"/>
    </row>
    <row r="20" spans="1:20" ht="15.75">
      <c r="A20" s="294">
        <f t="shared" si="3"/>
        <v>10</v>
      </c>
      <c r="B20" s="293" t="s">
        <v>31</v>
      </c>
      <c r="C20" s="294"/>
      <c r="D20" s="295" t="s">
        <v>122</v>
      </c>
      <c r="E20" s="429" t="s">
        <v>391</v>
      </c>
      <c r="F20" s="203">
        <v>168</v>
      </c>
      <c r="G20" s="495">
        <v>0</v>
      </c>
      <c r="H20" s="201">
        <v>0.076</v>
      </c>
      <c r="I20" s="201">
        <v>0</v>
      </c>
      <c r="J20" s="201">
        <f t="shared" si="2"/>
        <v>0.076</v>
      </c>
      <c r="K20" s="230">
        <v>0.095</v>
      </c>
      <c r="L20" s="289">
        <f t="shared" si="0"/>
        <v>0.7999999999999999</v>
      </c>
      <c r="M20" s="128"/>
      <c r="N20" s="133"/>
      <c r="O20" s="104"/>
      <c r="P20" s="104"/>
      <c r="Q20" s="104"/>
      <c r="R20" s="68"/>
      <c r="S20" s="68">
        <f t="shared" si="1"/>
        <v>0.7999999999999999</v>
      </c>
      <c r="T20" s="1"/>
    </row>
    <row r="21" spans="1:20" ht="15.75">
      <c r="A21" s="294">
        <f t="shared" si="3"/>
        <v>11</v>
      </c>
      <c r="B21" s="293" t="s">
        <v>31</v>
      </c>
      <c r="C21" s="294"/>
      <c r="D21" s="295" t="s">
        <v>123</v>
      </c>
      <c r="E21" s="429" t="s">
        <v>392</v>
      </c>
      <c r="F21" s="203">
        <v>156</v>
      </c>
      <c r="G21" s="495">
        <v>0</v>
      </c>
      <c r="H21" s="201">
        <v>0.01</v>
      </c>
      <c r="I21" s="201">
        <v>0.01</v>
      </c>
      <c r="J21" s="201">
        <f t="shared" si="2"/>
        <v>0.02</v>
      </c>
      <c r="K21" s="230">
        <v>0.04</v>
      </c>
      <c r="L21" s="289">
        <f t="shared" si="0"/>
        <v>0.5</v>
      </c>
      <c r="M21" s="128"/>
      <c r="N21" s="133"/>
      <c r="O21" s="104"/>
      <c r="P21" s="104"/>
      <c r="Q21" s="104"/>
      <c r="R21" s="57"/>
      <c r="S21" s="68">
        <f t="shared" si="1"/>
        <v>0.5</v>
      </c>
      <c r="T21" s="1"/>
    </row>
    <row r="22" spans="1:20" ht="15.75">
      <c r="A22" s="294">
        <f t="shared" si="3"/>
        <v>12</v>
      </c>
      <c r="B22" s="293" t="s">
        <v>31</v>
      </c>
      <c r="C22" s="294"/>
      <c r="D22" s="295" t="s">
        <v>124</v>
      </c>
      <c r="E22" s="429" t="s">
        <v>389</v>
      </c>
      <c r="F22" s="203">
        <v>192</v>
      </c>
      <c r="G22" s="495">
        <v>0</v>
      </c>
      <c r="H22" s="201">
        <v>0</v>
      </c>
      <c r="I22" s="201">
        <v>0.247</v>
      </c>
      <c r="J22" s="201">
        <f t="shared" si="2"/>
        <v>0.247</v>
      </c>
      <c r="K22" s="230">
        <v>0.09</v>
      </c>
      <c r="L22" s="289">
        <f t="shared" si="0"/>
        <v>1</v>
      </c>
      <c r="M22" s="128"/>
      <c r="N22" s="133"/>
      <c r="O22" s="104"/>
      <c r="P22" s="104"/>
      <c r="Q22" s="104"/>
      <c r="R22" s="57"/>
      <c r="S22" s="68"/>
      <c r="T22" s="1"/>
    </row>
    <row r="23" spans="1:20" ht="15.75">
      <c r="A23" s="294">
        <f t="shared" si="3"/>
        <v>13</v>
      </c>
      <c r="B23" s="293" t="s">
        <v>31</v>
      </c>
      <c r="C23" s="294"/>
      <c r="D23" s="295" t="s">
        <v>125</v>
      </c>
      <c r="E23" s="429" t="s">
        <v>389</v>
      </c>
      <c r="F23" s="203">
        <v>348</v>
      </c>
      <c r="G23" s="495">
        <v>0</v>
      </c>
      <c r="H23" s="201">
        <v>0</v>
      </c>
      <c r="I23" s="206">
        <v>0.261</v>
      </c>
      <c r="J23" s="201">
        <f t="shared" si="2"/>
        <v>0.261</v>
      </c>
      <c r="K23" s="230">
        <v>0.156</v>
      </c>
      <c r="L23" s="289">
        <f>IF(K23=0,0,(IF(J23/K23&gt;1,1,J23/K23)))</f>
        <v>1</v>
      </c>
      <c r="M23" s="128">
        <f>+K23*0.1+K23</f>
        <v>0.1716</v>
      </c>
      <c r="N23" s="133">
        <f>+I23</f>
        <v>0.261</v>
      </c>
      <c r="O23" s="104"/>
      <c r="P23" s="273"/>
      <c r="Q23" s="68"/>
      <c r="R23" s="57"/>
      <c r="S23" s="68">
        <f t="shared" si="1"/>
        <v>1.6730769230769231</v>
      </c>
      <c r="T23" s="1"/>
    </row>
    <row r="24" spans="1:20" ht="15.75">
      <c r="A24" s="294">
        <f t="shared" si="3"/>
        <v>14</v>
      </c>
      <c r="B24" s="293" t="s">
        <v>31</v>
      </c>
      <c r="C24" s="294"/>
      <c r="D24" s="296" t="s">
        <v>126</v>
      </c>
      <c r="E24" s="429" t="s">
        <v>393</v>
      </c>
      <c r="F24" s="203">
        <v>417</v>
      </c>
      <c r="G24" s="495">
        <v>0</v>
      </c>
      <c r="H24" s="201">
        <v>0.244</v>
      </c>
      <c r="I24" s="201">
        <v>0</v>
      </c>
      <c r="J24" s="201">
        <f t="shared" si="2"/>
        <v>0.244</v>
      </c>
      <c r="K24" s="230">
        <v>0.22</v>
      </c>
      <c r="L24" s="289">
        <f t="shared" si="0"/>
        <v>1</v>
      </c>
      <c r="M24" s="128">
        <f>+K24*0.1+K24</f>
        <v>0.242</v>
      </c>
      <c r="N24" s="133">
        <f>+H24</f>
        <v>0.244</v>
      </c>
      <c r="O24" s="104"/>
      <c r="P24" s="104"/>
      <c r="Q24" s="104"/>
      <c r="R24" s="57"/>
      <c r="S24" s="68">
        <f t="shared" si="1"/>
        <v>1.1090909090909091</v>
      </c>
      <c r="T24" s="1"/>
    </row>
    <row r="25" spans="1:20" ht="15.75">
      <c r="A25" s="294">
        <f t="shared" si="3"/>
        <v>15</v>
      </c>
      <c r="B25" s="293" t="s">
        <v>12</v>
      </c>
      <c r="C25" s="294"/>
      <c r="D25" s="295" t="s">
        <v>35</v>
      </c>
      <c r="E25" s="429" t="s">
        <v>372</v>
      </c>
      <c r="F25" s="203">
        <v>653</v>
      </c>
      <c r="G25" s="495">
        <v>1.057</v>
      </c>
      <c r="H25" s="206">
        <v>0.944</v>
      </c>
      <c r="I25" s="201">
        <v>0</v>
      </c>
      <c r="J25" s="201">
        <f t="shared" si="2"/>
        <v>2.001</v>
      </c>
      <c r="K25" s="230">
        <v>0.65</v>
      </c>
      <c r="L25" s="289">
        <f t="shared" si="0"/>
        <v>1</v>
      </c>
      <c r="M25" s="128">
        <f>+K25*0.1+K25</f>
        <v>0.7150000000000001</v>
      </c>
      <c r="N25" s="133">
        <f>+I25</f>
        <v>0</v>
      </c>
      <c r="O25" s="104"/>
      <c r="P25" s="104"/>
      <c r="Q25" s="104"/>
      <c r="R25" s="57"/>
      <c r="S25" s="68">
        <f t="shared" si="1"/>
        <v>3.0784615384615384</v>
      </c>
      <c r="T25" s="1"/>
    </row>
    <row r="26" spans="1:20" ht="15.75">
      <c r="A26" s="294">
        <f t="shared" si="3"/>
        <v>16</v>
      </c>
      <c r="B26" s="293" t="s">
        <v>33</v>
      </c>
      <c r="C26" s="294"/>
      <c r="D26" s="295" t="s">
        <v>115</v>
      </c>
      <c r="E26" s="429" t="s">
        <v>394</v>
      </c>
      <c r="F26" s="203">
        <v>2814</v>
      </c>
      <c r="G26" s="495">
        <v>0</v>
      </c>
      <c r="H26" s="201">
        <v>0</v>
      </c>
      <c r="I26" s="201">
        <v>1.377</v>
      </c>
      <c r="J26" s="201">
        <v>2.1</v>
      </c>
      <c r="K26" s="230">
        <v>2.1</v>
      </c>
      <c r="L26" s="289">
        <f t="shared" si="0"/>
        <v>1</v>
      </c>
      <c r="M26" s="128">
        <f>+K26*0.1+K26</f>
        <v>2.31</v>
      </c>
      <c r="N26" s="133">
        <f>+H26</f>
        <v>0</v>
      </c>
      <c r="O26" s="104"/>
      <c r="P26" s="68"/>
      <c r="Q26" s="68"/>
      <c r="R26" s="57"/>
      <c r="S26" s="68">
        <f t="shared" si="1"/>
        <v>1</v>
      </c>
      <c r="T26" s="1"/>
    </row>
    <row r="27" spans="1:20" ht="15.75">
      <c r="A27" s="294">
        <f t="shared" si="3"/>
        <v>17</v>
      </c>
      <c r="B27" s="293" t="s">
        <v>32</v>
      </c>
      <c r="C27" s="294"/>
      <c r="D27" s="295" t="s">
        <v>185</v>
      </c>
      <c r="E27" s="429" t="s">
        <v>394</v>
      </c>
      <c r="F27" s="203">
        <v>706</v>
      </c>
      <c r="G27" s="495">
        <v>0</v>
      </c>
      <c r="H27" s="201">
        <v>0.519</v>
      </c>
      <c r="I27" s="201">
        <v>0</v>
      </c>
      <c r="J27" s="201">
        <f t="shared" si="2"/>
        <v>0.519</v>
      </c>
      <c r="K27" s="230">
        <v>0.5</v>
      </c>
      <c r="L27" s="289">
        <f t="shared" si="0"/>
        <v>1</v>
      </c>
      <c r="M27" s="286"/>
      <c r="N27" s="287"/>
      <c r="O27" s="124"/>
      <c r="P27" s="104"/>
      <c r="Q27" s="104"/>
      <c r="R27" s="57"/>
      <c r="S27" s="68">
        <f t="shared" si="1"/>
        <v>1.038</v>
      </c>
      <c r="T27" s="1"/>
    </row>
    <row r="28" spans="1:20" ht="15.75">
      <c r="A28" s="294">
        <f t="shared" si="3"/>
        <v>18</v>
      </c>
      <c r="B28" s="293" t="s">
        <v>12</v>
      </c>
      <c r="C28" s="294"/>
      <c r="D28" s="295" t="s">
        <v>116</v>
      </c>
      <c r="E28" s="429" t="s">
        <v>394</v>
      </c>
      <c r="F28" s="203">
        <v>472</v>
      </c>
      <c r="G28" s="495">
        <v>0</v>
      </c>
      <c r="H28" s="201">
        <v>0</v>
      </c>
      <c r="I28" s="201">
        <v>0.41</v>
      </c>
      <c r="J28" s="201">
        <f t="shared" si="2"/>
        <v>0.41</v>
      </c>
      <c r="K28" s="230">
        <v>0.45</v>
      </c>
      <c r="L28" s="289">
        <f t="shared" si="0"/>
        <v>0.911111111111111</v>
      </c>
      <c r="M28" s="128"/>
      <c r="N28" s="133"/>
      <c r="O28" s="104"/>
      <c r="P28" s="104"/>
      <c r="Q28" s="104"/>
      <c r="R28" s="57"/>
      <c r="S28" s="68">
        <f t="shared" si="1"/>
        <v>0.911111111111111</v>
      </c>
      <c r="T28" s="1"/>
    </row>
    <row r="29" spans="1:20" ht="15.75">
      <c r="A29" s="294">
        <f t="shared" si="3"/>
        <v>19</v>
      </c>
      <c r="B29" s="293" t="s">
        <v>12</v>
      </c>
      <c r="C29" s="294"/>
      <c r="D29" s="295" t="s">
        <v>117</v>
      </c>
      <c r="E29" s="429" t="s">
        <v>394</v>
      </c>
      <c r="F29" s="203">
        <v>210</v>
      </c>
      <c r="G29" s="495">
        <v>0.2</v>
      </c>
      <c r="H29" s="206">
        <v>0.125</v>
      </c>
      <c r="I29" s="201">
        <v>0</v>
      </c>
      <c r="J29" s="201">
        <f t="shared" si="2"/>
        <v>0.325</v>
      </c>
      <c r="K29" s="230">
        <v>0.12</v>
      </c>
      <c r="L29" s="289">
        <f t="shared" si="0"/>
        <v>1</v>
      </c>
      <c r="M29" s="128">
        <f aca="true" t="shared" si="4" ref="M29:M48">+K29*0.1+K29</f>
        <v>0.132</v>
      </c>
      <c r="N29" s="133">
        <f>+I29</f>
        <v>0</v>
      </c>
      <c r="O29" s="104"/>
      <c r="P29" s="104"/>
      <c r="Q29" s="104"/>
      <c r="R29" s="57"/>
      <c r="S29" s="68">
        <f t="shared" si="1"/>
        <v>2.7083333333333335</v>
      </c>
      <c r="T29" s="1"/>
    </row>
    <row r="30" spans="1:20" ht="15.75">
      <c r="A30" s="294">
        <f t="shared" si="3"/>
        <v>20</v>
      </c>
      <c r="B30" s="293" t="s">
        <v>32</v>
      </c>
      <c r="C30" s="294"/>
      <c r="D30" s="295" t="s">
        <v>172</v>
      </c>
      <c r="E30" s="429" t="s">
        <v>340</v>
      </c>
      <c r="F30" s="203">
        <v>428.5</v>
      </c>
      <c r="G30" s="495">
        <v>0</v>
      </c>
      <c r="H30" s="201">
        <v>0.46</v>
      </c>
      <c r="I30" s="201">
        <v>0</v>
      </c>
      <c r="J30" s="201">
        <f t="shared" si="2"/>
        <v>0.46</v>
      </c>
      <c r="K30" s="230">
        <v>0.2</v>
      </c>
      <c r="L30" s="289">
        <f t="shared" si="0"/>
        <v>1</v>
      </c>
      <c r="M30" s="128">
        <f t="shared" si="4"/>
        <v>0.22000000000000003</v>
      </c>
      <c r="N30" s="133"/>
      <c r="O30" s="104"/>
      <c r="P30" s="104"/>
      <c r="Q30" s="104"/>
      <c r="R30" s="57"/>
      <c r="S30" s="68">
        <f t="shared" si="1"/>
        <v>2.3</v>
      </c>
      <c r="T30" s="1"/>
    </row>
    <row r="31" spans="1:20" ht="15.75">
      <c r="A31" s="294">
        <f t="shared" si="3"/>
        <v>21</v>
      </c>
      <c r="B31" s="293" t="s">
        <v>29</v>
      </c>
      <c r="C31" s="294"/>
      <c r="D31" s="295" t="s">
        <v>138</v>
      </c>
      <c r="E31" s="429" t="s">
        <v>395</v>
      </c>
      <c r="F31" s="203">
        <v>63</v>
      </c>
      <c r="G31" s="495">
        <v>1.572</v>
      </c>
      <c r="H31" s="201">
        <v>0.134</v>
      </c>
      <c r="I31" s="201">
        <v>0.708</v>
      </c>
      <c r="J31" s="201">
        <f t="shared" si="2"/>
        <v>2.4139999999999997</v>
      </c>
      <c r="K31" s="230">
        <v>0.527</v>
      </c>
      <c r="L31" s="289">
        <f>IF(K31=0,0,(IF(J31/K31&gt;1,1,J31/K31)))</f>
        <v>1</v>
      </c>
      <c r="M31" s="128">
        <f t="shared" si="4"/>
        <v>0.5797</v>
      </c>
      <c r="N31" s="133">
        <f>+H31+I31</f>
        <v>0.842</v>
      </c>
      <c r="O31" s="104"/>
      <c r="P31" s="68"/>
      <c r="Q31" s="68"/>
      <c r="R31" s="57"/>
      <c r="S31" s="68"/>
      <c r="T31" s="1"/>
    </row>
    <row r="32" spans="1:20" ht="15.75">
      <c r="A32" s="294">
        <f t="shared" si="3"/>
        <v>22</v>
      </c>
      <c r="B32" s="293" t="s">
        <v>29</v>
      </c>
      <c r="C32" s="294"/>
      <c r="D32" s="295" t="s">
        <v>139</v>
      </c>
      <c r="E32" s="429" t="s">
        <v>395</v>
      </c>
      <c r="F32" s="203">
        <v>362</v>
      </c>
      <c r="G32" s="495">
        <v>3.952</v>
      </c>
      <c r="H32" s="201">
        <v>0.134</v>
      </c>
      <c r="I32" s="201">
        <v>0.164</v>
      </c>
      <c r="J32" s="201">
        <f t="shared" si="2"/>
        <v>4.25</v>
      </c>
      <c r="K32" s="230">
        <v>0.362</v>
      </c>
      <c r="L32" s="289">
        <f t="shared" si="0"/>
        <v>1</v>
      </c>
      <c r="M32" s="128">
        <f t="shared" si="4"/>
        <v>0.3982</v>
      </c>
      <c r="N32" s="133">
        <f>+I32</f>
        <v>0.164</v>
      </c>
      <c r="O32" s="104"/>
      <c r="P32" s="104"/>
      <c r="Q32" s="104"/>
      <c r="R32" s="57"/>
      <c r="S32" s="68">
        <f t="shared" si="1"/>
        <v>11.740331491712707</v>
      </c>
      <c r="T32" s="1"/>
    </row>
    <row r="33" spans="1:20" ht="15.75">
      <c r="A33" s="294">
        <f t="shared" si="3"/>
        <v>23</v>
      </c>
      <c r="B33" s="293" t="s">
        <v>32</v>
      </c>
      <c r="C33" s="294"/>
      <c r="D33" s="295" t="s">
        <v>259</v>
      </c>
      <c r="E33" s="429" t="s">
        <v>396</v>
      </c>
      <c r="F33" s="203">
        <v>82</v>
      </c>
      <c r="G33" s="495">
        <v>0.179</v>
      </c>
      <c r="H33" s="201">
        <v>0.107</v>
      </c>
      <c r="I33" s="201">
        <v>0</v>
      </c>
      <c r="J33" s="201">
        <f t="shared" si="2"/>
        <v>0.286</v>
      </c>
      <c r="K33" s="230">
        <v>0.082</v>
      </c>
      <c r="L33" s="289">
        <f t="shared" si="0"/>
        <v>1</v>
      </c>
      <c r="M33" s="128">
        <f t="shared" si="4"/>
        <v>0.0902</v>
      </c>
      <c r="N33" s="133">
        <f>+H33</f>
        <v>0.107</v>
      </c>
      <c r="O33" s="104"/>
      <c r="P33" s="104"/>
      <c r="Q33" s="104"/>
      <c r="R33" s="57"/>
      <c r="S33" s="68">
        <f t="shared" si="1"/>
        <v>3.48780487804878</v>
      </c>
      <c r="T33" s="1"/>
    </row>
    <row r="34" spans="1:20" ht="15.75">
      <c r="A34" s="294">
        <f t="shared" si="3"/>
        <v>24</v>
      </c>
      <c r="B34" s="293" t="s">
        <v>32</v>
      </c>
      <c r="C34" s="294"/>
      <c r="D34" s="295" t="s">
        <v>118</v>
      </c>
      <c r="E34" s="429" t="s">
        <v>397</v>
      </c>
      <c r="F34" s="203">
        <v>179</v>
      </c>
      <c r="G34" s="495">
        <v>0.318</v>
      </c>
      <c r="H34" s="201">
        <v>0</v>
      </c>
      <c r="I34" s="201">
        <v>0.282</v>
      </c>
      <c r="J34" s="201">
        <f t="shared" si="2"/>
        <v>0.6</v>
      </c>
      <c r="K34" s="230">
        <v>0.179</v>
      </c>
      <c r="L34" s="289">
        <f t="shared" si="0"/>
        <v>1</v>
      </c>
      <c r="M34" s="128">
        <f t="shared" si="4"/>
        <v>0.1969</v>
      </c>
      <c r="N34" s="133">
        <f>+I34+H34</f>
        <v>0.282</v>
      </c>
      <c r="O34" s="104"/>
      <c r="P34" s="104"/>
      <c r="Q34" s="104"/>
      <c r="R34" s="57"/>
      <c r="S34" s="68">
        <f t="shared" si="1"/>
        <v>3.35195530726257</v>
      </c>
      <c r="T34" s="1"/>
    </row>
    <row r="35" spans="1:20" ht="15.75">
      <c r="A35" s="294">
        <f t="shared" si="3"/>
        <v>25</v>
      </c>
      <c r="B35" s="293" t="s">
        <v>29</v>
      </c>
      <c r="C35" s="294"/>
      <c r="D35" s="295" t="s">
        <v>119</v>
      </c>
      <c r="E35" s="429" t="s">
        <v>395</v>
      </c>
      <c r="F35" s="203">
        <v>629</v>
      </c>
      <c r="G35" s="495">
        <v>2.139</v>
      </c>
      <c r="H35" s="201">
        <v>0.159</v>
      </c>
      <c r="I35" s="201">
        <v>0.308</v>
      </c>
      <c r="J35" s="201">
        <f t="shared" si="2"/>
        <v>2.6059999999999994</v>
      </c>
      <c r="K35" s="230">
        <v>0.46</v>
      </c>
      <c r="L35" s="289">
        <f t="shared" si="0"/>
        <v>1</v>
      </c>
      <c r="M35" s="128"/>
      <c r="N35" s="133"/>
      <c r="O35" s="104"/>
      <c r="P35" s="104"/>
      <c r="Q35" s="104"/>
      <c r="R35" s="57"/>
      <c r="S35" s="68">
        <f t="shared" si="1"/>
        <v>5.665217391304346</v>
      </c>
      <c r="T35" s="1"/>
    </row>
    <row r="36" spans="1:20" ht="15.75">
      <c r="A36" s="294">
        <f t="shared" si="3"/>
        <v>26</v>
      </c>
      <c r="B36" s="293" t="s">
        <v>32</v>
      </c>
      <c r="C36" s="294"/>
      <c r="D36" s="295" t="s">
        <v>120</v>
      </c>
      <c r="E36" s="429" t="s">
        <v>398</v>
      </c>
      <c r="F36" s="203">
        <v>26</v>
      </c>
      <c r="G36" s="495">
        <v>0.245</v>
      </c>
      <c r="H36" s="201">
        <v>0.025</v>
      </c>
      <c r="I36" s="201">
        <v>0</v>
      </c>
      <c r="J36" s="201">
        <f t="shared" si="2"/>
        <v>0.27</v>
      </c>
      <c r="K36" s="230">
        <v>0.026</v>
      </c>
      <c r="L36" s="289">
        <f t="shared" si="0"/>
        <v>1</v>
      </c>
      <c r="M36" s="128">
        <f t="shared" si="4"/>
        <v>0.0286</v>
      </c>
      <c r="N36" s="133">
        <f>+H36</f>
        <v>0.025</v>
      </c>
      <c r="O36" s="104"/>
      <c r="P36" s="104"/>
      <c r="Q36" s="104"/>
      <c r="R36" s="57"/>
      <c r="S36" s="68"/>
      <c r="T36" s="1"/>
    </row>
    <row r="37" spans="1:20" ht="15.75">
      <c r="A37" s="294">
        <f t="shared" si="3"/>
        <v>27</v>
      </c>
      <c r="B37" s="293" t="s">
        <v>32</v>
      </c>
      <c r="C37" s="294"/>
      <c r="D37" s="295" t="s">
        <v>121</v>
      </c>
      <c r="E37" s="429" t="s">
        <v>399</v>
      </c>
      <c r="F37" s="203">
        <v>66</v>
      </c>
      <c r="G37" s="495">
        <v>3.45</v>
      </c>
      <c r="H37" s="201">
        <v>0</v>
      </c>
      <c r="I37" s="201">
        <v>0.882</v>
      </c>
      <c r="J37" s="201">
        <f t="shared" si="2"/>
        <v>4.332</v>
      </c>
      <c r="K37" s="230">
        <v>0.262</v>
      </c>
      <c r="L37" s="289">
        <f t="shared" si="0"/>
        <v>1</v>
      </c>
      <c r="M37" s="128">
        <f t="shared" si="4"/>
        <v>0.2882</v>
      </c>
      <c r="N37" s="133">
        <f>+I37</f>
        <v>0.882</v>
      </c>
      <c r="O37" s="104"/>
      <c r="P37" s="104"/>
      <c r="Q37" s="104"/>
      <c r="R37" s="57"/>
      <c r="S37" s="68"/>
      <c r="T37" s="1"/>
    </row>
    <row r="38" spans="1:20" ht="15.75">
      <c r="A38" s="294">
        <f t="shared" si="3"/>
        <v>28</v>
      </c>
      <c r="B38" s="293" t="s">
        <v>32</v>
      </c>
      <c r="C38" s="294"/>
      <c r="D38" s="295" t="s">
        <v>167</v>
      </c>
      <c r="E38" s="429" t="s">
        <v>400</v>
      </c>
      <c r="F38" s="203">
        <v>301</v>
      </c>
      <c r="G38" s="495">
        <v>0</v>
      </c>
      <c r="H38" s="201">
        <v>0.385</v>
      </c>
      <c r="I38" s="201">
        <v>0.213</v>
      </c>
      <c r="J38" s="201">
        <f t="shared" si="2"/>
        <v>0.598</v>
      </c>
      <c r="K38" s="230">
        <v>0.21</v>
      </c>
      <c r="L38" s="289">
        <f>IF(K38=0,0,(IF(J38/K38&gt;1,1,J38/K38)))</f>
        <v>1</v>
      </c>
      <c r="M38" s="128"/>
      <c r="N38" s="133"/>
      <c r="O38" s="104"/>
      <c r="P38" s="104"/>
      <c r="Q38" s="104"/>
      <c r="R38" s="57"/>
      <c r="S38" s="68">
        <f t="shared" si="1"/>
        <v>2.8476190476190477</v>
      </c>
      <c r="T38" s="1"/>
    </row>
    <row r="39" spans="1:20" ht="15.75">
      <c r="A39" s="294">
        <f t="shared" si="3"/>
        <v>29</v>
      </c>
      <c r="B39" s="293" t="s">
        <v>31</v>
      </c>
      <c r="C39" s="294"/>
      <c r="D39" s="295" t="s">
        <v>159</v>
      </c>
      <c r="E39" s="429" t="s">
        <v>396</v>
      </c>
      <c r="F39" s="203">
        <v>153</v>
      </c>
      <c r="G39" s="495">
        <v>0</v>
      </c>
      <c r="H39" s="201">
        <v>0.065</v>
      </c>
      <c r="I39" s="201">
        <v>0.129</v>
      </c>
      <c r="J39" s="201">
        <f t="shared" si="2"/>
        <v>0.194</v>
      </c>
      <c r="K39" s="230">
        <v>0.153</v>
      </c>
      <c r="L39" s="289">
        <f t="shared" si="0"/>
        <v>1</v>
      </c>
      <c r="M39" s="128">
        <f t="shared" si="4"/>
        <v>0.1683</v>
      </c>
      <c r="N39" s="133">
        <f>+I39+H39</f>
        <v>0.194</v>
      </c>
      <c r="O39" s="104"/>
      <c r="P39" s="123"/>
      <c r="Q39" s="104"/>
      <c r="R39" s="57"/>
      <c r="S39" s="68">
        <f t="shared" si="1"/>
        <v>1.2679738562091505</v>
      </c>
      <c r="T39" s="1"/>
    </row>
    <row r="40" spans="1:20" ht="15.75">
      <c r="A40" s="294">
        <f t="shared" si="3"/>
        <v>30</v>
      </c>
      <c r="B40" s="293" t="s">
        <v>32</v>
      </c>
      <c r="C40" s="294"/>
      <c r="D40" s="295" t="s">
        <v>158</v>
      </c>
      <c r="E40" s="429" t="s">
        <v>400</v>
      </c>
      <c r="F40" s="203">
        <v>450</v>
      </c>
      <c r="G40" s="495">
        <v>0</v>
      </c>
      <c r="H40" s="201">
        <v>0.548</v>
      </c>
      <c r="I40" s="201"/>
      <c r="J40" s="201">
        <f t="shared" si="2"/>
        <v>0.548</v>
      </c>
      <c r="K40" s="230">
        <v>0.315</v>
      </c>
      <c r="L40" s="289">
        <f t="shared" si="0"/>
        <v>1</v>
      </c>
      <c r="M40" s="128">
        <f t="shared" si="4"/>
        <v>0.34650000000000003</v>
      </c>
      <c r="N40" s="133">
        <f>+I40+H40</f>
        <v>0.548</v>
      </c>
      <c r="O40" s="104"/>
      <c r="P40" s="104"/>
      <c r="Q40" s="104"/>
      <c r="R40" s="57"/>
      <c r="S40" s="68"/>
      <c r="T40" s="1"/>
    </row>
    <row r="41" spans="1:20" ht="15.75">
      <c r="A41" s="294">
        <f t="shared" si="3"/>
        <v>31</v>
      </c>
      <c r="B41" s="293" t="s">
        <v>31</v>
      </c>
      <c r="C41" s="294"/>
      <c r="D41" s="297" t="s">
        <v>181</v>
      </c>
      <c r="E41" s="429" t="s">
        <v>400</v>
      </c>
      <c r="F41" s="203">
        <v>112</v>
      </c>
      <c r="G41" s="495">
        <v>0</v>
      </c>
      <c r="H41" s="201">
        <v>0.147</v>
      </c>
      <c r="I41" s="201">
        <v>0</v>
      </c>
      <c r="J41" s="201">
        <f t="shared" si="2"/>
        <v>0.147</v>
      </c>
      <c r="K41" s="230">
        <v>0.112</v>
      </c>
      <c r="L41" s="289">
        <f t="shared" si="0"/>
        <v>1</v>
      </c>
      <c r="M41" s="128"/>
      <c r="N41" s="133"/>
      <c r="O41" s="104"/>
      <c r="P41" s="104"/>
      <c r="Q41" s="104"/>
      <c r="R41" s="57"/>
      <c r="S41" s="68"/>
      <c r="T41" s="1"/>
    </row>
    <row r="42" spans="1:20" ht="15.75">
      <c r="A42" s="294">
        <f t="shared" si="3"/>
        <v>32</v>
      </c>
      <c r="B42" s="293" t="s">
        <v>31</v>
      </c>
      <c r="C42" s="294"/>
      <c r="D42" s="295" t="s">
        <v>182</v>
      </c>
      <c r="E42" s="429" t="s">
        <v>400</v>
      </c>
      <c r="F42" s="203">
        <v>137</v>
      </c>
      <c r="G42" s="495">
        <v>0</v>
      </c>
      <c r="H42" s="201">
        <v>0.37</v>
      </c>
      <c r="I42" s="201">
        <v>0</v>
      </c>
      <c r="J42" s="201">
        <f t="shared" si="2"/>
        <v>0.37</v>
      </c>
      <c r="K42" s="230">
        <v>0.137</v>
      </c>
      <c r="L42" s="289">
        <f t="shared" si="0"/>
        <v>1</v>
      </c>
      <c r="M42" s="128"/>
      <c r="N42" s="133"/>
      <c r="O42" s="104"/>
      <c r="P42" s="104"/>
      <c r="Q42" s="104"/>
      <c r="R42" s="57"/>
      <c r="S42" s="68"/>
      <c r="T42" s="1"/>
    </row>
    <row r="43" spans="1:20" ht="15.75">
      <c r="A43" s="294">
        <f t="shared" si="3"/>
        <v>33</v>
      </c>
      <c r="B43" s="293" t="s">
        <v>32</v>
      </c>
      <c r="C43" s="294"/>
      <c r="D43" s="295" t="s">
        <v>183</v>
      </c>
      <c r="E43" s="429" t="s">
        <v>401</v>
      </c>
      <c r="F43" s="203">
        <v>82</v>
      </c>
      <c r="G43" s="495">
        <v>0.165</v>
      </c>
      <c r="H43" s="201">
        <v>0.026</v>
      </c>
      <c r="I43" s="201">
        <v>0.063</v>
      </c>
      <c r="J43" s="201">
        <f t="shared" si="2"/>
        <v>0.254</v>
      </c>
      <c r="K43" s="230">
        <v>0.09</v>
      </c>
      <c r="L43" s="289">
        <f t="shared" si="0"/>
        <v>1</v>
      </c>
      <c r="M43" s="128">
        <f t="shared" si="4"/>
        <v>0.09899999999999999</v>
      </c>
      <c r="N43" s="133">
        <f>+H43</f>
        <v>0.026</v>
      </c>
      <c r="O43" s="104"/>
      <c r="P43" s="104"/>
      <c r="Q43" s="104"/>
      <c r="R43" s="57"/>
      <c r="S43" s="68">
        <f t="shared" si="1"/>
        <v>2.8222222222222224</v>
      </c>
      <c r="T43" s="1"/>
    </row>
    <row r="44" spans="1:20" ht="15.75">
      <c r="A44" s="294">
        <f t="shared" si="3"/>
        <v>34</v>
      </c>
      <c r="B44" s="293" t="s">
        <v>260</v>
      </c>
      <c r="C44" s="294"/>
      <c r="D44" s="296" t="s">
        <v>36</v>
      </c>
      <c r="E44" s="429" t="s">
        <v>391</v>
      </c>
      <c r="F44" s="203">
        <v>1896</v>
      </c>
      <c r="G44" s="495">
        <v>0.75</v>
      </c>
      <c r="H44" s="201">
        <v>0.298</v>
      </c>
      <c r="I44" s="201">
        <v>0</v>
      </c>
      <c r="J44" s="201">
        <f t="shared" si="2"/>
        <v>1.048</v>
      </c>
      <c r="K44" s="230">
        <v>0.9</v>
      </c>
      <c r="L44" s="289">
        <f t="shared" si="0"/>
        <v>1</v>
      </c>
      <c r="M44" s="128">
        <f t="shared" si="4"/>
        <v>0.99</v>
      </c>
      <c r="N44" s="133">
        <f>+I44</f>
        <v>0</v>
      </c>
      <c r="O44" s="104"/>
      <c r="P44" s="104"/>
      <c r="Q44" s="104"/>
      <c r="R44" s="57"/>
      <c r="S44" s="68">
        <f t="shared" si="1"/>
        <v>1.1644444444444444</v>
      </c>
      <c r="T44" s="1"/>
    </row>
    <row r="45" spans="1:20" ht="15.75">
      <c r="A45" s="294">
        <f t="shared" si="3"/>
        <v>35</v>
      </c>
      <c r="B45" s="293" t="s">
        <v>31</v>
      </c>
      <c r="C45" s="294"/>
      <c r="D45" s="295" t="s">
        <v>37</v>
      </c>
      <c r="E45" s="429" t="s">
        <v>402</v>
      </c>
      <c r="F45" s="203">
        <v>525</v>
      </c>
      <c r="G45" s="495">
        <v>0</v>
      </c>
      <c r="H45" s="201">
        <v>0</v>
      </c>
      <c r="I45" s="201">
        <v>0.304</v>
      </c>
      <c r="J45" s="201">
        <f t="shared" si="2"/>
        <v>0.304</v>
      </c>
      <c r="K45" s="230">
        <v>0.3</v>
      </c>
      <c r="L45" s="289">
        <f>IF(K45=0,0,(IF(J45/K45&gt;1,1,J45/K45)))</f>
        <v>1</v>
      </c>
      <c r="M45" s="128">
        <f t="shared" si="4"/>
        <v>0.32999999999999996</v>
      </c>
      <c r="N45" s="133">
        <f>+H45</f>
        <v>0</v>
      </c>
      <c r="O45" s="104"/>
      <c r="P45" s="104"/>
      <c r="Q45" s="104"/>
      <c r="R45" s="57"/>
      <c r="S45" s="68">
        <f t="shared" si="1"/>
        <v>1.0133333333333334</v>
      </c>
      <c r="T45" s="1"/>
    </row>
    <row r="46" spans="1:20" ht="15.75">
      <c r="A46" s="294">
        <f t="shared" si="3"/>
        <v>36</v>
      </c>
      <c r="B46" s="293" t="s">
        <v>33</v>
      </c>
      <c r="C46" s="294"/>
      <c r="D46" s="296" t="s">
        <v>34</v>
      </c>
      <c r="E46" s="429" t="s">
        <v>403</v>
      </c>
      <c r="F46" s="203">
        <v>1811</v>
      </c>
      <c r="G46" s="495">
        <v>0</v>
      </c>
      <c r="H46" s="201">
        <v>0</v>
      </c>
      <c r="I46" s="201">
        <v>0.358</v>
      </c>
      <c r="J46" s="201">
        <f t="shared" si="2"/>
        <v>0.358</v>
      </c>
      <c r="K46" s="230">
        <v>0.7</v>
      </c>
      <c r="L46" s="289">
        <f t="shared" si="0"/>
        <v>0.5114285714285715</v>
      </c>
      <c r="M46" s="128">
        <f t="shared" si="4"/>
        <v>0.7699999999999999</v>
      </c>
      <c r="N46" s="136"/>
      <c r="O46" s="105"/>
      <c r="P46" s="104"/>
      <c r="Q46" s="104"/>
      <c r="R46" s="57"/>
      <c r="S46" s="68">
        <f t="shared" si="1"/>
        <v>0.5114285714285715</v>
      </c>
      <c r="T46" s="1"/>
    </row>
    <row r="47" spans="1:20" ht="15.75">
      <c r="A47" s="294">
        <f t="shared" si="3"/>
        <v>37</v>
      </c>
      <c r="B47" s="293" t="s">
        <v>31</v>
      </c>
      <c r="C47" s="294"/>
      <c r="D47" s="295" t="s">
        <v>127</v>
      </c>
      <c r="E47" s="429" t="s">
        <v>404</v>
      </c>
      <c r="F47" s="203">
        <v>379</v>
      </c>
      <c r="G47" s="495">
        <v>0.425</v>
      </c>
      <c r="H47" s="201">
        <v>0.264</v>
      </c>
      <c r="I47" s="201">
        <v>0</v>
      </c>
      <c r="J47" s="201">
        <f t="shared" si="2"/>
        <v>0.6890000000000001</v>
      </c>
      <c r="K47" s="230">
        <v>0.266</v>
      </c>
      <c r="L47" s="289">
        <f t="shared" si="0"/>
        <v>1</v>
      </c>
      <c r="M47" s="128">
        <f t="shared" si="4"/>
        <v>0.2926</v>
      </c>
      <c r="N47" s="133">
        <f>+H47</f>
        <v>0.264</v>
      </c>
      <c r="O47" s="104"/>
      <c r="P47" s="104"/>
      <c r="Q47" s="104"/>
      <c r="R47" s="57"/>
      <c r="S47" s="68">
        <f t="shared" si="1"/>
        <v>2.5902255639097747</v>
      </c>
      <c r="T47" s="1"/>
    </row>
    <row r="48" spans="1:20" ht="15.75">
      <c r="A48" s="294">
        <f t="shared" si="3"/>
        <v>38</v>
      </c>
      <c r="B48" s="293" t="s">
        <v>31</v>
      </c>
      <c r="C48" s="294"/>
      <c r="D48" s="298" t="s">
        <v>128</v>
      </c>
      <c r="E48" s="429" t="s">
        <v>404</v>
      </c>
      <c r="F48" s="203">
        <v>215</v>
      </c>
      <c r="G48" s="495">
        <v>0.19</v>
      </c>
      <c r="H48" s="201">
        <v>0.154</v>
      </c>
      <c r="I48" s="201">
        <v>0.166</v>
      </c>
      <c r="J48" s="201">
        <f t="shared" si="2"/>
        <v>0.51</v>
      </c>
      <c r="K48" s="230">
        <v>0.154</v>
      </c>
      <c r="L48" s="289">
        <f t="shared" si="0"/>
        <v>1</v>
      </c>
      <c r="M48" s="128">
        <f t="shared" si="4"/>
        <v>0.1694</v>
      </c>
      <c r="N48" s="133">
        <f>+I48</f>
        <v>0.166</v>
      </c>
      <c r="O48" s="104"/>
      <c r="P48" s="104"/>
      <c r="Q48" s="104"/>
      <c r="R48" s="57"/>
      <c r="S48" s="68"/>
      <c r="T48" s="1"/>
    </row>
    <row r="49" spans="1:20" ht="15.75">
      <c r="A49" s="294">
        <f t="shared" si="3"/>
        <v>39</v>
      </c>
      <c r="B49" s="293" t="s">
        <v>31</v>
      </c>
      <c r="C49" s="294"/>
      <c r="D49" s="296" t="s">
        <v>129</v>
      </c>
      <c r="E49" s="429" t="s">
        <v>404</v>
      </c>
      <c r="F49" s="203">
        <v>792</v>
      </c>
      <c r="G49" s="495">
        <v>0</v>
      </c>
      <c r="H49" s="201">
        <v>0</v>
      </c>
      <c r="I49" s="201">
        <v>0.294</v>
      </c>
      <c r="J49" s="201">
        <f t="shared" si="2"/>
        <v>0.294</v>
      </c>
      <c r="K49" s="230">
        <v>0.11</v>
      </c>
      <c r="L49" s="289">
        <f t="shared" si="0"/>
        <v>1</v>
      </c>
      <c r="M49" s="128"/>
      <c r="N49" s="133"/>
      <c r="O49" s="104"/>
      <c r="P49" s="104"/>
      <c r="Q49" s="104"/>
      <c r="R49" s="57"/>
      <c r="S49" s="68">
        <f t="shared" si="1"/>
        <v>2.6727272727272724</v>
      </c>
      <c r="T49" s="1"/>
    </row>
    <row r="50" spans="1:20" ht="15.75">
      <c r="A50" s="294">
        <f t="shared" si="3"/>
        <v>40</v>
      </c>
      <c r="B50" s="293" t="s">
        <v>31</v>
      </c>
      <c r="C50" s="294"/>
      <c r="D50" s="295" t="s">
        <v>130</v>
      </c>
      <c r="E50" s="429" t="s">
        <v>403</v>
      </c>
      <c r="F50" s="203">
        <v>277</v>
      </c>
      <c r="G50" s="495">
        <v>0.225</v>
      </c>
      <c r="H50" s="201">
        <v>0.369</v>
      </c>
      <c r="I50" s="201">
        <v>0</v>
      </c>
      <c r="J50" s="201">
        <f t="shared" si="2"/>
        <v>0.594</v>
      </c>
      <c r="K50" s="230">
        <v>0.12</v>
      </c>
      <c r="L50" s="289">
        <f t="shared" si="0"/>
        <v>1</v>
      </c>
      <c r="M50" s="128"/>
      <c r="N50" s="133"/>
      <c r="O50" s="104"/>
      <c r="P50" s="104"/>
      <c r="Q50" s="104"/>
      <c r="R50" s="57"/>
      <c r="S50" s="68"/>
      <c r="T50" s="1"/>
    </row>
    <row r="51" spans="1:20" ht="15.75">
      <c r="A51" s="294">
        <f t="shared" si="3"/>
        <v>41</v>
      </c>
      <c r="B51" s="293" t="s">
        <v>31</v>
      </c>
      <c r="C51" s="294"/>
      <c r="D51" s="296" t="s">
        <v>131</v>
      </c>
      <c r="E51" s="429" t="s">
        <v>405</v>
      </c>
      <c r="F51" s="203">
        <v>61</v>
      </c>
      <c r="G51" s="495">
        <v>0</v>
      </c>
      <c r="H51" s="201">
        <v>0</v>
      </c>
      <c r="I51" s="201">
        <v>0.06</v>
      </c>
      <c r="J51" s="201">
        <f t="shared" si="2"/>
        <v>0.06</v>
      </c>
      <c r="K51" s="230">
        <v>0.03</v>
      </c>
      <c r="L51" s="289">
        <f t="shared" si="0"/>
        <v>1</v>
      </c>
      <c r="M51" s="128">
        <f>+K51*0.1+K51</f>
        <v>0.033</v>
      </c>
      <c r="N51" s="135">
        <f>+I51+H51</f>
        <v>0.06</v>
      </c>
      <c r="O51" s="124"/>
      <c r="P51" s="104"/>
      <c r="Q51" s="104"/>
      <c r="R51" s="57"/>
      <c r="S51" s="68"/>
      <c r="T51" s="1"/>
    </row>
    <row r="52" spans="1:20" ht="15.75">
      <c r="A52" s="294">
        <f t="shared" si="3"/>
        <v>42</v>
      </c>
      <c r="B52" s="293" t="s">
        <v>31</v>
      </c>
      <c r="C52" s="294"/>
      <c r="D52" s="295" t="s">
        <v>149</v>
      </c>
      <c r="E52" s="429" t="s">
        <v>382</v>
      </c>
      <c r="F52" s="207">
        <v>984</v>
      </c>
      <c r="G52" s="495">
        <v>0</v>
      </c>
      <c r="H52" s="201">
        <v>0.25</v>
      </c>
      <c r="I52" s="201">
        <v>0</v>
      </c>
      <c r="J52" s="201">
        <f t="shared" si="2"/>
        <v>0.25</v>
      </c>
      <c r="K52" s="230">
        <v>0.15</v>
      </c>
      <c r="L52" s="289">
        <f>IF(K52=0,0,(IF(J52/K52&gt;1,1,J52/K52)))</f>
        <v>1</v>
      </c>
      <c r="M52" s="128"/>
      <c r="N52" s="133"/>
      <c r="O52" s="104"/>
      <c r="P52" s="104"/>
      <c r="Q52" s="104"/>
      <c r="R52" s="57"/>
      <c r="S52" s="68">
        <f t="shared" si="1"/>
        <v>1.6666666666666667</v>
      </c>
      <c r="T52" s="1"/>
    </row>
    <row r="53" spans="1:20" ht="15.75">
      <c r="A53" s="294">
        <f t="shared" si="3"/>
        <v>43</v>
      </c>
      <c r="B53" s="293" t="s">
        <v>31</v>
      </c>
      <c r="C53" s="294"/>
      <c r="D53" s="299" t="s">
        <v>150</v>
      </c>
      <c r="E53" s="430" t="s">
        <v>382</v>
      </c>
      <c r="F53" s="208">
        <v>647</v>
      </c>
      <c r="G53" s="495">
        <v>0</v>
      </c>
      <c r="H53" s="209">
        <v>0.25</v>
      </c>
      <c r="I53" s="209">
        <v>0</v>
      </c>
      <c r="J53" s="201">
        <f t="shared" si="2"/>
        <v>0.25</v>
      </c>
      <c r="K53" s="230">
        <v>0.225</v>
      </c>
      <c r="L53" s="289">
        <f t="shared" si="0"/>
        <v>1</v>
      </c>
      <c r="M53" s="128">
        <f>+K53*0.1+K53</f>
        <v>0.2475</v>
      </c>
      <c r="N53" s="133">
        <f>+H53</f>
        <v>0.25</v>
      </c>
      <c r="O53" s="104"/>
      <c r="P53" s="104"/>
      <c r="Q53" s="104"/>
      <c r="R53" s="57"/>
      <c r="S53" s="68"/>
      <c r="T53" s="1"/>
    </row>
    <row r="54" spans="1:20" ht="16.5" thickBot="1">
      <c r="A54" s="294">
        <f t="shared" si="3"/>
        <v>44</v>
      </c>
      <c r="B54" s="293" t="s">
        <v>31</v>
      </c>
      <c r="C54" s="294"/>
      <c r="D54" s="300" t="s">
        <v>177</v>
      </c>
      <c r="E54" s="431" t="s">
        <v>341</v>
      </c>
      <c r="F54" s="210">
        <v>287</v>
      </c>
      <c r="G54" s="496">
        <v>0</v>
      </c>
      <c r="H54" s="211">
        <v>0</v>
      </c>
      <c r="I54" s="211">
        <v>0.05</v>
      </c>
      <c r="J54" s="201">
        <f t="shared" si="2"/>
        <v>0.05</v>
      </c>
      <c r="K54" s="230">
        <v>0.025</v>
      </c>
      <c r="L54" s="289">
        <f t="shared" si="0"/>
        <v>1</v>
      </c>
      <c r="M54" s="128"/>
      <c r="N54" s="133"/>
      <c r="O54" s="104"/>
      <c r="P54" s="104"/>
      <c r="Q54" s="104"/>
      <c r="R54" s="57"/>
      <c r="S54" s="68"/>
      <c r="T54" s="1"/>
    </row>
    <row r="55" spans="1:20" ht="22.5" customHeight="1" thickBot="1">
      <c r="A55" s="212"/>
      <c r="B55" s="213"/>
      <c r="C55" s="537"/>
      <c r="D55" s="538"/>
      <c r="E55" s="406"/>
      <c r="F55" s="214">
        <f>SUM(F11:F54)</f>
        <v>46831.5</v>
      </c>
      <c r="G55" s="215">
        <f>SUM(G11:G52)</f>
        <v>125.988</v>
      </c>
      <c r="H55" s="215">
        <f>SUM(H11:H54)</f>
        <v>26.000000000000004</v>
      </c>
      <c r="I55" s="215">
        <f>SUM(I11:I53)</f>
        <v>10.091000000000001</v>
      </c>
      <c r="J55" s="215">
        <f>SUM(J11:J53)</f>
        <v>162.802</v>
      </c>
      <c r="K55" s="454">
        <f>SUM(K11:K53)</f>
        <v>36.38199999999999</v>
      </c>
      <c r="L55" s="455">
        <f t="shared" si="0"/>
        <v>1</v>
      </c>
      <c r="M55" s="130">
        <f>SUM(L11:L54)/44</f>
        <v>0.967500901875902</v>
      </c>
      <c r="N55" s="136"/>
      <c r="O55" s="105"/>
      <c r="P55" s="105"/>
      <c r="Q55" s="105"/>
      <c r="R55" s="49"/>
      <c r="S55" s="68">
        <f t="shared" si="1"/>
        <v>4.474795228409654</v>
      </c>
      <c r="T55" s="1"/>
    </row>
    <row r="56" spans="1:20" ht="17.25" thickBot="1" thickTop="1">
      <c r="A56" s="216"/>
      <c r="B56" s="216"/>
      <c r="C56" s="216"/>
      <c r="D56" s="216"/>
      <c r="E56" s="216"/>
      <c r="F56" s="217"/>
      <c r="G56" s="216"/>
      <c r="H56" s="216"/>
      <c r="I56" s="216"/>
      <c r="J56" s="216"/>
      <c r="K56" s="216"/>
      <c r="L56" s="216"/>
      <c r="M56" s="137">
        <f>SUM(M11:M53)</f>
        <v>9.760299999999999</v>
      </c>
      <c r="N56" s="137">
        <f>SUM(N11:N53)</f>
        <v>4.479</v>
      </c>
      <c r="O56" s="141"/>
      <c r="P56" s="1"/>
      <c r="Q56" s="1"/>
      <c r="R56" s="1"/>
      <c r="S56" s="1"/>
      <c r="T56" s="1"/>
    </row>
    <row r="57" spans="1:20" ht="16.5" thickBot="1">
      <c r="A57" s="216"/>
      <c r="B57" s="216"/>
      <c r="C57" s="216"/>
      <c r="D57" s="218" t="s">
        <v>186</v>
      </c>
      <c r="E57" s="218"/>
      <c r="F57" s="219"/>
      <c r="G57" s="220" t="s">
        <v>190</v>
      </c>
      <c r="H57" s="221"/>
      <c r="I57" s="221"/>
      <c r="J57" s="221"/>
      <c r="K57" s="222"/>
      <c r="L57" s="222"/>
      <c r="M57" s="1"/>
      <c r="N57" s="1"/>
      <c r="O57" s="1"/>
      <c r="P57" s="1"/>
      <c r="Q57" s="1"/>
      <c r="R57" s="1"/>
      <c r="S57" s="1"/>
      <c r="T57" s="1"/>
    </row>
    <row r="58" spans="1:20" ht="6.75" customHeight="1" thickBot="1">
      <c r="A58" s="216"/>
      <c r="B58" s="216"/>
      <c r="C58" s="216"/>
      <c r="D58" s="223"/>
      <c r="E58" s="223"/>
      <c r="F58" s="224"/>
      <c r="G58" s="224"/>
      <c r="H58" s="225"/>
      <c r="I58" s="225"/>
      <c r="J58" s="225"/>
      <c r="K58" s="223"/>
      <c r="L58" s="223"/>
      <c r="M58" s="1"/>
      <c r="N58" s="1"/>
      <c r="O58" s="1"/>
      <c r="P58" s="1"/>
      <c r="Q58" s="1"/>
      <c r="R58" s="1"/>
      <c r="S58" s="1"/>
      <c r="T58" s="1"/>
    </row>
    <row r="59" spans="1:20" ht="16.5" thickBot="1">
      <c r="A59" s="216"/>
      <c r="B59" s="216"/>
      <c r="C59" s="216"/>
      <c r="D59" s="223"/>
      <c r="E59" s="223"/>
      <c r="F59" s="226"/>
      <c r="G59" s="220" t="s">
        <v>193</v>
      </c>
      <c r="H59" s="225"/>
      <c r="I59" s="225"/>
      <c r="J59" s="225"/>
      <c r="K59" s="223"/>
      <c r="L59" s="223"/>
      <c r="M59" s="1"/>
      <c r="N59" s="1"/>
      <c r="O59" s="1"/>
      <c r="P59" s="1"/>
      <c r="Q59" s="1"/>
      <c r="R59" s="1"/>
      <c r="S59" s="1"/>
      <c r="T59" s="1"/>
    </row>
    <row r="60" spans="1:12" ht="6.75" customHeight="1" thickBot="1">
      <c r="A60" s="223"/>
      <c r="B60" s="223"/>
      <c r="C60" s="223"/>
      <c r="D60" s="223"/>
      <c r="E60" s="223"/>
      <c r="F60" s="224"/>
      <c r="G60" s="224"/>
      <c r="H60" s="225"/>
      <c r="I60" s="225"/>
      <c r="J60" s="225"/>
      <c r="K60" s="223"/>
      <c r="L60" s="223"/>
    </row>
    <row r="61" spans="1:12" ht="16.5" thickBot="1">
      <c r="A61" s="223"/>
      <c r="B61" s="223"/>
      <c r="C61" s="223"/>
      <c r="D61" s="223"/>
      <c r="E61" s="223"/>
      <c r="F61" s="227"/>
      <c r="G61" s="220" t="s">
        <v>189</v>
      </c>
      <c r="H61" s="225"/>
      <c r="I61" s="225"/>
      <c r="J61" s="225"/>
      <c r="K61" s="223"/>
      <c r="L61" s="223"/>
    </row>
    <row r="62" spans="1:12" ht="6.75" customHeight="1" thickBot="1">
      <c r="A62" s="223"/>
      <c r="B62" s="223"/>
      <c r="C62" s="223"/>
      <c r="D62" s="223"/>
      <c r="E62" s="223"/>
      <c r="F62" s="224"/>
      <c r="G62" s="224"/>
      <c r="H62" s="225"/>
      <c r="I62" s="225"/>
      <c r="J62" s="225"/>
      <c r="K62" s="223"/>
      <c r="L62" s="223"/>
    </row>
    <row r="63" spans="1:12" ht="18.75" thickBot="1">
      <c r="A63" s="223"/>
      <c r="B63" s="223"/>
      <c r="C63" s="223"/>
      <c r="D63" s="223"/>
      <c r="E63" s="223"/>
      <c r="F63" s="228"/>
      <c r="G63" s="220" t="s">
        <v>188</v>
      </c>
      <c r="H63" s="225"/>
      <c r="I63" s="225"/>
      <c r="J63" s="225"/>
      <c r="K63" s="223"/>
      <c r="L63" s="223"/>
    </row>
    <row r="64" ht="12.75">
      <c r="F64" s="54"/>
    </row>
    <row r="65" ht="12.75">
      <c r="F65" s="54"/>
    </row>
    <row r="66" ht="12.75">
      <c r="F66" s="54"/>
    </row>
    <row r="67" ht="12.75">
      <c r="F67" s="54"/>
    </row>
    <row r="68" ht="12.75">
      <c r="F68" s="54"/>
    </row>
    <row r="69" ht="12.75">
      <c r="F69" s="54"/>
    </row>
  </sheetData>
  <sheetProtection/>
  <mergeCells count="13">
    <mergeCell ref="C55:D55"/>
    <mergeCell ref="B10:D10"/>
    <mergeCell ref="A3:L3"/>
    <mergeCell ref="B6:C8"/>
    <mergeCell ref="L7:L8"/>
    <mergeCell ref="P18:Q18"/>
    <mergeCell ref="P17:Q17"/>
    <mergeCell ref="M6:M8"/>
    <mergeCell ref="A2:L2"/>
    <mergeCell ref="A4:L4"/>
    <mergeCell ref="A6:A8"/>
    <mergeCell ref="D6:D8"/>
    <mergeCell ref="H6:I6"/>
  </mergeCells>
  <printOptions horizontalCentered="1" verticalCentered="1"/>
  <pageMargins left="0" right="0" top="0" bottom="1.4960629921259843" header="0.31496062992125984" footer="0.31496062992125984"/>
  <pageSetup horizontalDpi="300" verticalDpi="300" orientation="portrait" pageOrder="overThenDown" scale="65" r:id="rId2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120" zoomScaleNormal="120" zoomScalePageLayoutView="0" workbookViewId="0" topLeftCell="A11">
      <selection activeCell="J19" sqref="J19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4.57421875" style="0" hidden="1" customWidth="1"/>
    <col min="4" max="4" width="21.8515625" style="0" customWidth="1"/>
    <col min="5" max="5" width="14.00390625" style="0" customWidth="1"/>
    <col min="6" max="7" width="12.8515625" style="0" customWidth="1"/>
    <col min="8" max="8" width="11.00390625" style="0" customWidth="1"/>
    <col min="9" max="9" width="11.140625" style="0" customWidth="1"/>
    <col min="10" max="10" width="12.57421875" style="0" customWidth="1"/>
    <col min="11" max="11" width="11.57421875" style="0" customWidth="1"/>
    <col min="12" max="12" width="12.7109375" style="0" customWidth="1"/>
    <col min="13" max="13" width="14.57421875" style="0" customWidth="1"/>
    <col min="14" max="14" width="11.421875" style="0" customWidth="1"/>
  </cols>
  <sheetData>
    <row r="1" spans="6:11" ht="24.75" customHeight="1">
      <c r="F1" s="44"/>
      <c r="G1" s="44"/>
      <c r="H1" s="44"/>
      <c r="I1" s="44"/>
      <c r="J1" s="44"/>
      <c r="K1" s="44"/>
    </row>
    <row r="2" spans="1:12" ht="21" customHeight="1">
      <c r="A2" s="509" t="s">
        <v>254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</row>
    <row r="3" spans="1:12" ht="21" customHeight="1">
      <c r="A3" s="509" t="s">
        <v>105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</row>
    <row r="4" spans="1:12" ht="21" customHeight="1">
      <c r="A4" s="509" t="str">
        <f>+'PC-JT-SL'!A5:L5</f>
        <v>MINGGU   ke  I ( Tgl. 29 Juli  s/d 5 Agustus  2013 )  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</row>
    <row r="5" spans="1:12" ht="21" customHeight="1" thickBot="1">
      <c r="A5" s="1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1" customHeight="1" thickBot="1">
      <c r="A6" s="553" t="s">
        <v>0</v>
      </c>
      <c r="B6" s="560" t="s">
        <v>339</v>
      </c>
      <c r="C6" s="561"/>
      <c r="D6" s="555" t="s">
        <v>4</v>
      </c>
      <c r="E6" s="466"/>
      <c r="F6" s="467" t="s">
        <v>51</v>
      </c>
      <c r="G6" s="468" t="s">
        <v>57</v>
      </c>
      <c r="H6" s="556" t="s">
        <v>54</v>
      </c>
      <c r="I6" s="557"/>
      <c r="J6" s="469" t="s">
        <v>57</v>
      </c>
      <c r="K6" s="470" t="s">
        <v>57</v>
      </c>
      <c r="L6" s="471" t="s">
        <v>60</v>
      </c>
      <c r="M6" s="89" t="s">
        <v>162</v>
      </c>
    </row>
    <row r="7" spans="1:13" ht="21" customHeight="1">
      <c r="A7" s="554"/>
      <c r="B7" s="543"/>
      <c r="C7" s="544"/>
      <c r="D7" s="534"/>
      <c r="E7" s="399" t="s">
        <v>58</v>
      </c>
      <c r="F7" s="145" t="s">
        <v>52</v>
      </c>
      <c r="G7" s="147" t="s">
        <v>62</v>
      </c>
      <c r="H7" s="148" t="s">
        <v>55</v>
      </c>
      <c r="I7" s="149" t="s">
        <v>56</v>
      </c>
      <c r="J7" s="151" t="s">
        <v>58</v>
      </c>
      <c r="K7" s="153" t="s">
        <v>338</v>
      </c>
      <c r="L7" s="558" t="s">
        <v>61</v>
      </c>
      <c r="M7" s="89" t="s">
        <v>160</v>
      </c>
    </row>
    <row r="8" spans="1:12" ht="21" customHeight="1" thickBot="1">
      <c r="A8" s="554"/>
      <c r="B8" s="545"/>
      <c r="C8" s="546"/>
      <c r="D8" s="534"/>
      <c r="E8" s="400"/>
      <c r="F8" s="145" t="s">
        <v>53</v>
      </c>
      <c r="G8" s="158" t="s">
        <v>98</v>
      </c>
      <c r="H8" s="159" t="s">
        <v>98</v>
      </c>
      <c r="I8" s="160" t="s">
        <v>98</v>
      </c>
      <c r="J8" s="156" t="s">
        <v>98</v>
      </c>
      <c r="K8" s="157" t="s">
        <v>98</v>
      </c>
      <c r="L8" s="559"/>
    </row>
    <row r="9" spans="1:12" ht="21" customHeight="1" thickBot="1">
      <c r="A9" s="164">
        <v>1</v>
      </c>
      <c r="B9" s="162">
        <v>2</v>
      </c>
      <c r="C9" s="163"/>
      <c r="D9" s="164">
        <v>3</v>
      </c>
      <c r="E9" s="164"/>
      <c r="F9" s="164">
        <v>4</v>
      </c>
      <c r="G9" s="164">
        <v>5</v>
      </c>
      <c r="H9" s="164">
        <v>6</v>
      </c>
      <c r="I9" s="164">
        <v>7</v>
      </c>
      <c r="J9" s="164" t="s">
        <v>64</v>
      </c>
      <c r="K9" s="164">
        <v>9</v>
      </c>
      <c r="L9" s="164">
        <v>10</v>
      </c>
    </row>
    <row r="10" spans="1:12" ht="27" customHeight="1" thickBot="1" thickTop="1">
      <c r="A10" s="32" t="s">
        <v>81</v>
      </c>
      <c r="B10" s="564" t="s">
        <v>82</v>
      </c>
      <c r="C10" s="565"/>
      <c r="D10" s="552"/>
      <c r="E10" s="405"/>
      <c r="F10" s="21"/>
      <c r="G10" s="562"/>
      <c r="H10" s="563"/>
      <c r="I10" s="563"/>
      <c r="J10" s="563"/>
      <c r="K10" s="19"/>
      <c r="L10" s="472"/>
    </row>
    <row r="11" spans="1:14" ht="21" customHeight="1" thickTop="1">
      <c r="A11" s="98">
        <v>1</v>
      </c>
      <c r="B11" s="4" t="s">
        <v>16</v>
      </c>
      <c r="C11" s="52"/>
      <c r="D11" s="11" t="s">
        <v>17</v>
      </c>
      <c r="E11" s="47" t="s">
        <v>406</v>
      </c>
      <c r="F11" s="22">
        <v>1448</v>
      </c>
      <c r="G11" s="491">
        <v>0</v>
      </c>
      <c r="H11" s="459">
        <v>0.92</v>
      </c>
      <c r="I11" s="459">
        <v>0</v>
      </c>
      <c r="J11" s="459">
        <f aca="true" t="shared" si="0" ref="J11:J28">+I11+H11+G11</f>
        <v>0.92</v>
      </c>
      <c r="K11" s="459">
        <v>2.27</v>
      </c>
      <c r="L11" s="473">
        <v>1</v>
      </c>
      <c r="M11" s="88">
        <f>SUM(L11:L28)/13</f>
        <v>1.424730409777139</v>
      </c>
      <c r="N11" s="81">
        <f>J11/K11</f>
        <v>0.40528634361233484</v>
      </c>
    </row>
    <row r="12" spans="1:14" ht="21" customHeight="1">
      <c r="A12" s="98">
        <f>+A11+1</f>
        <v>2</v>
      </c>
      <c r="B12" s="7" t="s">
        <v>40</v>
      </c>
      <c r="C12" s="17"/>
      <c r="D12" s="5" t="s">
        <v>63</v>
      </c>
      <c r="E12" s="409" t="s">
        <v>407</v>
      </c>
      <c r="F12" s="14">
        <v>1227</v>
      </c>
      <c r="G12" s="492">
        <v>0.01</v>
      </c>
      <c r="H12" s="459">
        <v>0.769</v>
      </c>
      <c r="I12" s="459">
        <v>0.323</v>
      </c>
      <c r="J12" s="459">
        <f t="shared" si="0"/>
        <v>1.102</v>
      </c>
      <c r="K12" s="459">
        <v>1.123</v>
      </c>
      <c r="L12" s="473">
        <v>1</v>
      </c>
      <c r="N12" s="81">
        <f>J12/K12</f>
        <v>0.9813000890471951</v>
      </c>
    </row>
    <row r="13" spans="1:14" ht="21" customHeight="1">
      <c r="A13" s="98">
        <f>+A12+1</f>
        <v>3</v>
      </c>
      <c r="B13" s="7" t="s">
        <v>40</v>
      </c>
      <c r="C13" s="17"/>
      <c r="D13" s="5" t="s">
        <v>170</v>
      </c>
      <c r="E13" s="47" t="s">
        <v>408</v>
      </c>
      <c r="F13" s="14">
        <v>4341</v>
      </c>
      <c r="G13" s="491">
        <v>0.7</v>
      </c>
      <c r="H13" s="463">
        <v>2.893</v>
      </c>
      <c r="I13" s="463">
        <v>0</v>
      </c>
      <c r="J13" s="463">
        <f t="shared" si="0"/>
        <v>3.593</v>
      </c>
      <c r="K13" s="463">
        <v>4.057</v>
      </c>
      <c r="L13" s="473">
        <v>1</v>
      </c>
      <c r="N13" s="81"/>
    </row>
    <row r="14" spans="1:14" ht="21" customHeight="1">
      <c r="A14" s="98">
        <f>+A13+1</f>
        <v>4</v>
      </c>
      <c r="B14" s="7" t="s">
        <v>40</v>
      </c>
      <c r="C14" s="17"/>
      <c r="D14" s="121" t="s">
        <v>171</v>
      </c>
      <c r="E14" s="434" t="s">
        <v>408</v>
      </c>
      <c r="F14" s="258">
        <v>5126</v>
      </c>
      <c r="G14" s="491">
        <v>0.79</v>
      </c>
      <c r="H14" s="463">
        <v>0.608</v>
      </c>
      <c r="I14" s="463" t="s">
        <v>70</v>
      </c>
      <c r="J14" s="463">
        <f t="shared" si="0"/>
        <v>1.3980000000000001</v>
      </c>
      <c r="K14" s="463">
        <v>1.434</v>
      </c>
      <c r="L14" s="473">
        <v>1</v>
      </c>
      <c r="N14" s="81"/>
    </row>
    <row r="15" spans="1:14" ht="21" customHeight="1">
      <c r="A15" s="98">
        <f>+A14+1</f>
        <v>5</v>
      </c>
      <c r="B15" s="7" t="s">
        <v>41</v>
      </c>
      <c r="C15" s="17"/>
      <c r="D15" s="5" t="s">
        <v>42</v>
      </c>
      <c r="E15" s="47" t="s">
        <v>409</v>
      </c>
      <c r="F15" s="14">
        <v>436</v>
      </c>
      <c r="G15" s="491">
        <v>2.213</v>
      </c>
      <c r="H15" s="463">
        <v>0</v>
      </c>
      <c r="I15" s="463">
        <v>0.04</v>
      </c>
      <c r="J15" s="463">
        <f t="shared" si="0"/>
        <v>2.253</v>
      </c>
      <c r="K15" s="463">
        <v>0.17</v>
      </c>
      <c r="L15" s="473">
        <v>1</v>
      </c>
      <c r="N15" s="81">
        <f aca="true" t="shared" si="1" ref="N15:N31">J15/K15</f>
        <v>13.252941176470587</v>
      </c>
    </row>
    <row r="16" spans="1:14" ht="21" customHeight="1">
      <c r="A16" s="98">
        <f>+A15+1</f>
        <v>6</v>
      </c>
      <c r="B16" s="7" t="s">
        <v>41</v>
      </c>
      <c r="C16" s="17"/>
      <c r="D16" s="5" t="s">
        <v>106</v>
      </c>
      <c r="E16" s="47" t="s">
        <v>410</v>
      </c>
      <c r="F16" s="14">
        <v>67</v>
      </c>
      <c r="G16" s="491">
        <v>0.517</v>
      </c>
      <c r="H16" s="463">
        <v>0</v>
      </c>
      <c r="I16" s="463">
        <v>0</v>
      </c>
      <c r="J16" s="463">
        <f t="shared" si="0"/>
        <v>0.517</v>
      </c>
      <c r="K16" s="463">
        <v>0.025</v>
      </c>
      <c r="L16" s="473">
        <v>1</v>
      </c>
      <c r="N16" s="81">
        <f t="shared" si="1"/>
        <v>20.68</v>
      </c>
    </row>
    <row r="17" spans="1:14" ht="21" customHeight="1">
      <c r="A17" s="98">
        <f aca="true" t="shared" si="2" ref="A17:A28">+A16+1</f>
        <v>7</v>
      </c>
      <c r="B17" s="7" t="s">
        <v>41</v>
      </c>
      <c r="C17" s="17"/>
      <c r="D17" s="5" t="s">
        <v>107</v>
      </c>
      <c r="E17" s="47" t="s">
        <v>410</v>
      </c>
      <c r="F17" s="14">
        <v>57</v>
      </c>
      <c r="G17" s="491">
        <v>0.492</v>
      </c>
      <c r="H17" s="463" t="s">
        <v>70</v>
      </c>
      <c r="I17" s="463">
        <v>0</v>
      </c>
      <c r="J17" s="463">
        <f t="shared" si="0"/>
        <v>0.492</v>
      </c>
      <c r="K17" s="463">
        <v>0.025</v>
      </c>
      <c r="L17" s="473">
        <v>1</v>
      </c>
      <c r="N17" s="81">
        <f t="shared" si="1"/>
        <v>19.68</v>
      </c>
    </row>
    <row r="18" spans="1:14" ht="21" customHeight="1">
      <c r="A18" s="98">
        <f t="shared" si="2"/>
        <v>8</v>
      </c>
      <c r="B18" s="7" t="s">
        <v>41</v>
      </c>
      <c r="C18" s="17"/>
      <c r="D18" s="5" t="s">
        <v>108</v>
      </c>
      <c r="E18" s="47" t="s">
        <v>409</v>
      </c>
      <c r="F18" s="14">
        <v>48</v>
      </c>
      <c r="G18" s="491">
        <v>0.581</v>
      </c>
      <c r="H18" s="463">
        <v>0</v>
      </c>
      <c r="I18" s="463">
        <v>0</v>
      </c>
      <c r="J18" s="463">
        <f t="shared" si="0"/>
        <v>0.581</v>
      </c>
      <c r="K18" s="463">
        <v>0</v>
      </c>
      <c r="L18" s="473">
        <v>1</v>
      </c>
      <c r="N18" s="81" t="e">
        <f t="shared" si="1"/>
        <v>#DIV/0!</v>
      </c>
    </row>
    <row r="19" spans="1:14" ht="21" customHeight="1">
      <c r="A19" s="98">
        <f t="shared" si="2"/>
        <v>9</v>
      </c>
      <c r="B19" s="7" t="s">
        <v>41</v>
      </c>
      <c r="C19" s="17"/>
      <c r="D19" s="5" t="s">
        <v>109</v>
      </c>
      <c r="E19" s="47" t="s">
        <v>409</v>
      </c>
      <c r="F19" s="14">
        <v>264</v>
      </c>
      <c r="G19" s="491">
        <v>0.623</v>
      </c>
      <c r="H19" s="463">
        <v>0</v>
      </c>
      <c r="I19" s="463">
        <v>0.04</v>
      </c>
      <c r="J19" s="463">
        <f>+I19+H19+G19</f>
        <v>0.663</v>
      </c>
      <c r="K19" s="463">
        <v>0.12</v>
      </c>
      <c r="L19" s="473">
        <v>1</v>
      </c>
      <c r="N19" s="81">
        <f t="shared" si="1"/>
        <v>5.525</v>
      </c>
    </row>
    <row r="20" spans="1:14" ht="21" customHeight="1">
      <c r="A20" s="98">
        <f t="shared" si="2"/>
        <v>10</v>
      </c>
      <c r="B20" s="7" t="s">
        <v>41</v>
      </c>
      <c r="C20" s="17"/>
      <c r="D20" s="5" t="s">
        <v>43</v>
      </c>
      <c r="E20" s="47" t="s">
        <v>411</v>
      </c>
      <c r="F20" s="14">
        <v>1607</v>
      </c>
      <c r="G20" s="491">
        <v>3.157</v>
      </c>
      <c r="H20" s="463">
        <v>0.447</v>
      </c>
      <c r="I20" s="463" t="s">
        <v>70</v>
      </c>
      <c r="J20" s="463">
        <f>+I20+H20+G20</f>
        <v>3.604</v>
      </c>
      <c r="K20" s="463">
        <v>0.683</v>
      </c>
      <c r="L20" s="473">
        <v>1</v>
      </c>
      <c r="N20" s="81">
        <f t="shared" si="1"/>
        <v>5.276720351390922</v>
      </c>
    </row>
    <row r="21" spans="1:14" ht="21" customHeight="1">
      <c r="A21" s="98">
        <f t="shared" si="2"/>
        <v>11</v>
      </c>
      <c r="B21" s="7" t="s">
        <v>41</v>
      </c>
      <c r="C21" s="17"/>
      <c r="D21" s="121" t="s">
        <v>255</v>
      </c>
      <c r="E21" s="434" t="s">
        <v>412</v>
      </c>
      <c r="F21" s="258">
        <v>10307</v>
      </c>
      <c r="G21" s="491">
        <v>0</v>
      </c>
      <c r="H21" s="463">
        <v>0</v>
      </c>
      <c r="I21" s="463">
        <v>11.131</v>
      </c>
      <c r="J21" s="463">
        <f>+I21+H21+G21</f>
        <v>11.131</v>
      </c>
      <c r="K21" s="463">
        <v>8.314</v>
      </c>
      <c r="L21" s="473">
        <v>1</v>
      </c>
      <c r="N21" s="81"/>
    </row>
    <row r="22" spans="1:14" ht="21" customHeight="1">
      <c r="A22" s="98">
        <f t="shared" si="2"/>
        <v>12</v>
      </c>
      <c r="B22" s="7" t="s">
        <v>41</v>
      </c>
      <c r="C22" s="17"/>
      <c r="D22" s="121" t="s">
        <v>256</v>
      </c>
      <c r="E22" s="434" t="s">
        <v>412</v>
      </c>
      <c r="F22" s="258">
        <v>12499</v>
      </c>
      <c r="G22" s="491">
        <v>0</v>
      </c>
      <c r="H22" s="463">
        <v>0</v>
      </c>
      <c r="I22" s="463">
        <v>0</v>
      </c>
      <c r="J22" s="463">
        <f>+I22+H22+G22</f>
        <v>0</v>
      </c>
      <c r="K22" s="463">
        <v>9.157</v>
      </c>
      <c r="L22" s="473">
        <v>1</v>
      </c>
      <c r="N22" s="81"/>
    </row>
    <row r="23" spans="1:14" ht="21" customHeight="1">
      <c r="A23" s="98">
        <f t="shared" si="2"/>
        <v>13</v>
      </c>
      <c r="B23" s="7" t="s">
        <v>41</v>
      </c>
      <c r="C23" s="17"/>
      <c r="D23" s="121" t="s">
        <v>257</v>
      </c>
      <c r="E23" s="434" t="s">
        <v>413</v>
      </c>
      <c r="F23" s="258">
        <v>8295</v>
      </c>
      <c r="G23" s="491" t="s">
        <v>70</v>
      </c>
      <c r="H23" s="463">
        <v>0</v>
      </c>
      <c r="I23" s="463" t="s">
        <v>70</v>
      </c>
      <c r="J23" s="463">
        <f>+I23+H23+G23</f>
        <v>0</v>
      </c>
      <c r="K23" s="463">
        <v>7.262</v>
      </c>
      <c r="L23" s="473">
        <v>1</v>
      </c>
      <c r="N23" s="81"/>
    </row>
    <row r="24" spans="1:14" ht="21" customHeight="1">
      <c r="A24" s="98">
        <f t="shared" si="2"/>
        <v>14</v>
      </c>
      <c r="B24" s="7" t="s">
        <v>45</v>
      </c>
      <c r="C24" s="17"/>
      <c r="D24" s="5" t="s">
        <v>46</v>
      </c>
      <c r="E24" s="47" t="s">
        <v>414</v>
      </c>
      <c r="F24" s="14">
        <v>271</v>
      </c>
      <c r="G24" s="491">
        <v>0.08</v>
      </c>
      <c r="H24" s="463">
        <v>0.497</v>
      </c>
      <c r="I24" s="463" t="s">
        <v>70</v>
      </c>
      <c r="J24" s="463">
        <f t="shared" si="0"/>
        <v>0.577</v>
      </c>
      <c r="K24" s="463">
        <v>0.285</v>
      </c>
      <c r="L24" s="473">
        <v>1</v>
      </c>
      <c r="N24" s="81">
        <f t="shared" si="1"/>
        <v>2.024561403508772</v>
      </c>
    </row>
    <row r="25" spans="1:14" ht="21" customHeight="1">
      <c r="A25" s="98">
        <f t="shared" si="2"/>
        <v>15</v>
      </c>
      <c r="B25" s="5" t="s">
        <v>47</v>
      </c>
      <c r="C25" s="17"/>
      <c r="D25" s="5" t="s">
        <v>48</v>
      </c>
      <c r="E25" s="47" t="s">
        <v>415</v>
      </c>
      <c r="F25" s="14">
        <v>528</v>
      </c>
      <c r="G25" s="491">
        <v>0</v>
      </c>
      <c r="H25" s="463" t="s">
        <v>70</v>
      </c>
      <c r="I25" s="463">
        <v>0.917</v>
      </c>
      <c r="J25" s="463">
        <f t="shared" si="0"/>
        <v>0.917</v>
      </c>
      <c r="K25" s="463">
        <v>1.1</v>
      </c>
      <c r="L25" s="473">
        <v>1</v>
      </c>
      <c r="N25" s="81">
        <f t="shared" si="1"/>
        <v>0.8336363636363636</v>
      </c>
    </row>
    <row r="26" spans="1:14" ht="21" customHeight="1">
      <c r="A26" s="98">
        <f t="shared" si="2"/>
        <v>16</v>
      </c>
      <c r="B26" s="5" t="s">
        <v>47</v>
      </c>
      <c r="C26" s="17"/>
      <c r="D26" s="5" t="s">
        <v>110</v>
      </c>
      <c r="E26" s="47" t="s">
        <v>416</v>
      </c>
      <c r="F26" s="14">
        <v>1214</v>
      </c>
      <c r="G26" s="491">
        <v>0.48</v>
      </c>
      <c r="H26" s="463">
        <v>0.82</v>
      </c>
      <c r="I26" s="463" t="s">
        <v>70</v>
      </c>
      <c r="J26" s="463">
        <f t="shared" si="0"/>
        <v>1.2999999999999998</v>
      </c>
      <c r="K26" s="463">
        <v>0.82</v>
      </c>
      <c r="L26" s="473">
        <v>1</v>
      </c>
      <c r="N26" s="81">
        <f t="shared" si="1"/>
        <v>1.5853658536585364</v>
      </c>
    </row>
    <row r="27" spans="1:14" ht="21" customHeight="1">
      <c r="A27" s="98">
        <f t="shared" si="2"/>
        <v>17</v>
      </c>
      <c r="B27" s="5" t="s">
        <v>47</v>
      </c>
      <c r="C27" s="17"/>
      <c r="D27" s="121" t="s">
        <v>111</v>
      </c>
      <c r="E27" s="434" t="s">
        <v>417</v>
      </c>
      <c r="F27" s="258">
        <v>3329</v>
      </c>
      <c r="G27" s="491">
        <v>0.284</v>
      </c>
      <c r="H27" s="463" t="s">
        <v>70</v>
      </c>
      <c r="I27" s="463">
        <v>2.972</v>
      </c>
      <c r="J27" s="463">
        <f t="shared" si="0"/>
        <v>3.256</v>
      </c>
      <c r="K27" s="463">
        <v>2.14</v>
      </c>
      <c r="L27" s="473">
        <f>J27/K27</f>
        <v>1.5214953271028036</v>
      </c>
      <c r="N27" s="81">
        <f t="shared" si="1"/>
        <v>1.5214953271028036</v>
      </c>
    </row>
    <row r="28" spans="1:14" ht="21" customHeight="1" thickBot="1">
      <c r="A28" s="98">
        <f t="shared" si="2"/>
        <v>18</v>
      </c>
      <c r="B28" s="10" t="s">
        <v>47</v>
      </c>
      <c r="C28" s="18"/>
      <c r="D28" s="10" t="s">
        <v>112</v>
      </c>
      <c r="E28" s="47" t="s">
        <v>418</v>
      </c>
      <c r="F28" s="50">
        <v>508</v>
      </c>
      <c r="G28" s="491">
        <v>0.389</v>
      </c>
      <c r="H28" s="463">
        <v>0.937</v>
      </c>
      <c r="I28" s="463" t="s">
        <v>70</v>
      </c>
      <c r="J28" s="463">
        <f t="shared" si="0"/>
        <v>1.326</v>
      </c>
      <c r="K28" s="463">
        <v>0.593</v>
      </c>
      <c r="L28" s="473">
        <v>1</v>
      </c>
      <c r="N28" s="81">
        <f t="shared" si="1"/>
        <v>2.2360876897133224</v>
      </c>
    </row>
    <row r="29" spans="1:14" ht="21" customHeight="1" thickBot="1" thickTop="1">
      <c r="A29" s="474"/>
      <c r="B29" s="569" t="s">
        <v>132</v>
      </c>
      <c r="C29" s="570"/>
      <c r="D29" s="571"/>
      <c r="E29" s="84"/>
      <c r="F29" s="59">
        <f aca="true" t="shared" si="3" ref="F29:K29">SUM(F11:F28)</f>
        <v>51572</v>
      </c>
      <c r="G29" s="84">
        <f t="shared" si="3"/>
        <v>10.316000000000003</v>
      </c>
      <c r="H29" s="84">
        <f t="shared" si="3"/>
        <v>7.891</v>
      </c>
      <c r="I29" s="84">
        <f t="shared" si="3"/>
        <v>15.423</v>
      </c>
      <c r="J29" s="84">
        <f t="shared" si="3"/>
        <v>33.629999999999995</v>
      </c>
      <c r="K29" s="438">
        <f t="shared" si="3"/>
        <v>39.578</v>
      </c>
      <c r="L29" s="439">
        <f>IF(K29=0,0,(IF(J29/K29&gt;1,1,J29/K29)))</f>
        <v>0.8497144878467834</v>
      </c>
      <c r="M29" s="78"/>
      <c r="N29" s="81">
        <f t="shared" si="1"/>
        <v>0.8497144878467834</v>
      </c>
    </row>
    <row r="30" spans="1:14" ht="27" customHeight="1" thickBot="1" thickTop="1">
      <c r="A30" s="475" t="s">
        <v>83</v>
      </c>
      <c r="B30" s="551" t="s">
        <v>84</v>
      </c>
      <c r="C30" s="552"/>
      <c r="D30" s="552"/>
      <c r="E30" s="20"/>
      <c r="F30" s="21"/>
      <c r="G30" s="20"/>
      <c r="H30" s="19"/>
      <c r="I30" s="265"/>
      <c r="J30" s="266"/>
      <c r="K30" s="265"/>
      <c r="L30" s="476"/>
      <c r="N30" s="81" t="e">
        <f t="shared" si="1"/>
        <v>#DIV/0!</v>
      </c>
    </row>
    <row r="31" spans="1:14" ht="21" customHeight="1" thickTop="1">
      <c r="A31" s="96">
        <v>1</v>
      </c>
      <c r="B31" s="121" t="s">
        <v>44</v>
      </c>
      <c r="C31" s="52">
        <v>1</v>
      </c>
      <c r="D31" s="121" t="s">
        <v>235</v>
      </c>
      <c r="E31" s="434" t="s">
        <v>414</v>
      </c>
      <c r="F31" s="258">
        <v>5001</v>
      </c>
      <c r="G31" s="493">
        <v>3.788</v>
      </c>
      <c r="H31" s="53">
        <v>0.01</v>
      </c>
      <c r="I31" s="69">
        <v>0</v>
      </c>
      <c r="J31" s="69">
        <f aca="true" t="shared" si="4" ref="J31:J48">+I31+H31+G31</f>
        <v>3.7979999999999996</v>
      </c>
      <c r="K31" s="53">
        <v>0</v>
      </c>
      <c r="L31" s="477">
        <f>IF(K31=0,0,(IF(J31/K31&gt;1,1,J31/K31)))</f>
        <v>0</v>
      </c>
      <c r="M31" s="88">
        <f>SUM(L31:L48)/16</f>
        <v>0.7660741468422543</v>
      </c>
      <c r="N31" s="81" t="e">
        <f t="shared" si="1"/>
        <v>#DIV/0!</v>
      </c>
    </row>
    <row r="32" spans="1:14" ht="21" customHeight="1">
      <c r="A32" s="478">
        <v>2</v>
      </c>
      <c r="B32" s="256" t="s">
        <v>49</v>
      </c>
      <c r="C32" s="17">
        <f aca="true" t="shared" si="5" ref="C32:C48">+C31+1</f>
        <v>2</v>
      </c>
      <c r="D32" s="121" t="s">
        <v>220</v>
      </c>
      <c r="E32" s="434" t="s">
        <v>419</v>
      </c>
      <c r="F32" s="258">
        <v>3200</v>
      </c>
      <c r="G32" s="493">
        <v>7.031</v>
      </c>
      <c r="H32" s="47">
        <v>0</v>
      </c>
      <c r="I32" s="47">
        <v>0.08</v>
      </c>
      <c r="J32" s="69">
        <f t="shared" si="4"/>
        <v>7.111</v>
      </c>
      <c r="K32" s="53">
        <v>0</v>
      </c>
      <c r="L32" s="479">
        <f>IF(K32=0,0,(IF(J32/K32&gt;1,1,J32/K32)))</f>
        <v>0</v>
      </c>
      <c r="M32" s="88"/>
      <c r="N32" s="81"/>
    </row>
    <row r="33" spans="1:14" ht="21" customHeight="1">
      <c r="A33" s="478">
        <v>3</v>
      </c>
      <c r="B33" s="259" t="s">
        <v>44</v>
      </c>
      <c r="C33" s="17">
        <f t="shared" si="5"/>
        <v>3</v>
      </c>
      <c r="D33" s="259" t="s">
        <v>222</v>
      </c>
      <c r="E33" s="435" t="s">
        <v>414</v>
      </c>
      <c r="F33" s="260">
        <v>5863</v>
      </c>
      <c r="G33" s="494">
        <v>25.285</v>
      </c>
      <c r="H33" s="69">
        <v>11.591</v>
      </c>
      <c r="I33" s="69">
        <v>0</v>
      </c>
      <c r="J33" s="69">
        <f t="shared" si="4"/>
        <v>36.876</v>
      </c>
      <c r="K33" s="53">
        <v>11.591</v>
      </c>
      <c r="L33" s="479">
        <f>IF(K33=0,0,(IF(J33/K33&gt;1,1,J33/K33)))</f>
        <v>1</v>
      </c>
      <c r="M33" s="88"/>
      <c r="N33" s="81"/>
    </row>
    <row r="34" spans="1:14" ht="21" customHeight="1">
      <c r="A34" s="449">
        <v>4</v>
      </c>
      <c r="B34" s="256" t="s">
        <v>49</v>
      </c>
      <c r="C34" s="17">
        <f t="shared" si="5"/>
        <v>4</v>
      </c>
      <c r="D34" s="121" t="s">
        <v>219</v>
      </c>
      <c r="E34" s="434" t="s">
        <v>414</v>
      </c>
      <c r="F34" s="258">
        <v>20795</v>
      </c>
      <c r="G34" s="493">
        <v>138.476</v>
      </c>
      <c r="H34" s="53">
        <v>15.066</v>
      </c>
      <c r="I34" s="53">
        <v>0</v>
      </c>
      <c r="J34" s="53">
        <f t="shared" si="4"/>
        <v>153.542</v>
      </c>
      <c r="K34" s="53">
        <v>15.711</v>
      </c>
      <c r="L34" s="479">
        <f>IF(K34=0,0,(IF(J34/K34&gt;1,1,J34/K34)))</f>
        <v>1</v>
      </c>
      <c r="M34" s="88"/>
      <c r="N34" s="81"/>
    </row>
    <row r="35" spans="1:14" ht="21" customHeight="1">
      <c r="A35" s="98">
        <v>5</v>
      </c>
      <c r="B35" s="121" t="s">
        <v>50</v>
      </c>
      <c r="C35" s="17">
        <f t="shared" si="5"/>
        <v>5</v>
      </c>
      <c r="D35" s="121" t="s">
        <v>221</v>
      </c>
      <c r="E35" s="434" t="s">
        <v>420</v>
      </c>
      <c r="F35" s="258">
        <v>19629</v>
      </c>
      <c r="G35" s="493">
        <v>20</v>
      </c>
      <c r="H35" s="53">
        <v>8.2</v>
      </c>
      <c r="I35" s="53">
        <v>8.2</v>
      </c>
      <c r="J35" s="53">
        <f t="shared" si="4"/>
        <v>36.4</v>
      </c>
      <c r="K35" s="53">
        <v>16.4</v>
      </c>
      <c r="L35" s="479">
        <f aca="true" t="shared" si="6" ref="L35:L42">IF(K35=0,0,(IF(J35/K35&gt;1,1,J35/K35)))</f>
        <v>1</v>
      </c>
      <c r="N35" s="81"/>
    </row>
    <row r="36" spans="1:14" ht="21" customHeight="1">
      <c r="A36" s="98">
        <v>6</v>
      </c>
      <c r="B36" s="10" t="s">
        <v>49</v>
      </c>
      <c r="C36" s="17">
        <f t="shared" si="5"/>
        <v>6</v>
      </c>
      <c r="D36" s="5" t="s">
        <v>253</v>
      </c>
      <c r="E36" s="47" t="s">
        <v>421</v>
      </c>
      <c r="F36" s="6">
        <v>1.432</v>
      </c>
      <c r="G36" s="493">
        <v>0.325</v>
      </c>
      <c r="H36" s="53">
        <v>0</v>
      </c>
      <c r="I36" s="53">
        <v>2.46</v>
      </c>
      <c r="J36" s="53">
        <f t="shared" si="4"/>
        <v>2.785</v>
      </c>
      <c r="K36" s="53">
        <v>2.369</v>
      </c>
      <c r="L36" s="479">
        <f t="shared" si="6"/>
        <v>1</v>
      </c>
      <c r="N36" s="81"/>
    </row>
    <row r="37" spans="1:14" ht="21" customHeight="1">
      <c r="A37" s="98">
        <v>7</v>
      </c>
      <c r="B37" s="10" t="s">
        <v>49</v>
      </c>
      <c r="C37" s="17">
        <f t="shared" si="5"/>
        <v>7</v>
      </c>
      <c r="D37" s="5" t="s">
        <v>223</v>
      </c>
      <c r="E37" s="47" t="s">
        <v>422</v>
      </c>
      <c r="F37" s="14">
        <v>703</v>
      </c>
      <c r="G37" s="493">
        <v>0.033</v>
      </c>
      <c r="H37" s="53">
        <v>1.393</v>
      </c>
      <c r="I37" s="53">
        <v>0</v>
      </c>
      <c r="J37" s="53">
        <f t="shared" si="4"/>
        <v>1.426</v>
      </c>
      <c r="K37" s="53">
        <v>1.712</v>
      </c>
      <c r="L37" s="479">
        <f t="shared" si="6"/>
        <v>0.8329439252336448</v>
      </c>
      <c r="N37" s="81"/>
    </row>
    <row r="38" spans="1:14" ht="21" customHeight="1">
      <c r="A38" s="98">
        <v>8</v>
      </c>
      <c r="B38" s="10" t="s">
        <v>49</v>
      </c>
      <c r="C38" s="17">
        <f t="shared" si="5"/>
        <v>8</v>
      </c>
      <c r="D38" s="5" t="s">
        <v>224</v>
      </c>
      <c r="E38" s="47" t="s">
        <v>423</v>
      </c>
      <c r="F38" s="14">
        <v>1127</v>
      </c>
      <c r="G38" s="493">
        <v>1.5025</v>
      </c>
      <c r="H38" s="53">
        <v>2.21</v>
      </c>
      <c r="I38" s="53">
        <v>0</v>
      </c>
      <c r="J38" s="53">
        <f t="shared" si="4"/>
        <v>3.7125</v>
      </c>
      <c r="K38" s="53">
        <v>1.895</v>
      </c>
      <c r="L38" s="479">
        <f>IF(K38=0,0,(IF(J38/K38&gt;1,1,J38/K38)))</f>
        <v>1</v>
      </c>
      <c r="N38" s="81"/>
    </row>
    <row r="39" spans="1:14" ht="21" customHeight="1">
      <c r="A39" s="98">
        <v>9</v>
      </c>
      <c r="B39" s="5" t="s">
        <v>96</v>
      </c>
      <c r="C39" s="17">
        <f t="shared" si="5"/>
        <v>9</v>
      </c>
      <c r="D39" s="5" t="s">
        <v>225</v>
      </c>
      <c r="E39" s="47" t="s">
        <v>424</v>
      </c>
      <c r="F39" s="14">
        <v>1375</v>
      </c>
      <c r="G39" s="493">
        <v>9.9</v>
      </c>
      <c r="H39" s="53">
        <v>2.238</v>
      </c>
      <c r="I39" s="53">
        <v>0</v>
      </c>
      <c r="J39" s="53">
        <f t="shared" si="4"/>
        <v>12.138</v>
      </c>
      <c r="K39" s="53">
        <v>3.016</v>
      </c>
      <c r="L39" s="479">
        <f t="shared" si="6"/>
        <v>1</v>
      </c>
      <c r="N39" s="81"/>
    </row>
    <row r="40" spans="1:14" ht="21" customHeight="1">
      <c r="A40" s="98">
        <v>10</v>
      </c>
      <c r="B40" s="5" t="s">
        <v>96</v>
      </c>
      <c r="C40" s="17">
        <f t="shared" si="5"/>
        <v>10</v>
      </c>
      <c r="D40" s="5" t="s">
        <v>226</v>
      </c>
      <c r="E40" s="47" t="s">
        <v>425</v>
      </c>
      <c r="F40" s="14">
        <v>102</v>
      </c>
      <c r="G40" s="493">
        <v>0.26</v>
      </c>
      <c r="H40" s="53">
        <v>0.373</v>
      </c>
      <c r="I40" s="53">
        <v>0</v>
      </c>
      <c r="J40" s="53">
        <f t="shared" si="4"/>
        <v>0.633</v>
      </c>
      <c r="K40" s="53">
        <v>0.392</v>
      </c>
      <c r="L40" s="479">
        <f t="shared" si="6"/>
        <v>1</v>
      </c>
      <c r="N40" s="81"/>
    </row>
    <row r="41" spans="1:14" ht="21" customHeight="1">
      <c r="A41" s="98">
        <v>11</v>
      </c>
      <c r="B41" s="5" t="s">
        <v>96</v>
      </c>
      <c r="C41" s="17">
        <f t="shared" si="5"/>
        <v>11</v>
      </c>
      <c r="D41" s="5" t="s">
        <v>262</v>
      </c>
      <c r="E41" s="47" t="s">
        <v>425</v>
      </c>
      <c r="F41" s="14">
        <v>100</v>
      </c>
      <c r="G41" s="493">
        <v>0.041</v>
      </c>
      <c r="H41" s="53">
        <v>0.085</v>
      </c>
      <c r="I41" s="53">
        <v>0</v>
      </c>
      <c r="J41" s="53">
        <f t="shared" si="4"/>
        <v>0.126</v>
      </c>
      <c r="K41" s="53">
        <v>0.297</v>
      </c>
      <c r="L41" s="479">
        <f>IF(K41=0,0,(IF(J41/K41&gt;1,1,J41/K41)))</f>
        <v>0.42424242424242425</v>
      </c>
      <c r="N41" s="81"/>
    </row>
    <row r="42" spans="1:14" ht="21" customHeight="1">
      <c r="A42" s="98">
        <v>12</v>
      </c>
      <c r="B42" s="5" t="s">
        <v>96</v>
      </c>
      <c r="C42" s="17">
        <f t="shared" si="5"/>
        <v>12</v>
      </c>
      <c r="D42" s="5" t="s">
        <v>227</v>
      </c>
      <c r="E42" s="47" t="s">
        <v>426</v>
      </c>
      <c r="F42" s="14">
        <v>57</v>
      </c>
      <c r="G42" s="493">
        <v>0.057</v>
      </c>
      <c r="H42" s="53">
        <v>0.062</v>
      </c>
      <c r="I42" s="53">
        <v>0</v>
      </c>
      <c r="J42" s="53">
        <f t="shared" si="4"/>
        <v>0.119</v>
      </c>
      <c r="K42" s="53">
        <v>0.079</v>
      </c>
      <c r="L42" s="479">
        <f t="shared" si="6"/>
        <v>1</v>
      </c>
      <c r="N42" s="81"/>
    </row>
    <row r="43" spans="1:14" ht="21" customHeight="1">
      <c r="A43" s="98">
        <v>13</v>
      </c>
      <c r="B43" s="10" t="s">
        <v>49</v>
      </c>
      <c r="C43" s="17">
        <f t="shared" si="5"/>
        <v>13</v>
      </c>
      <c r="D43" s="5" t="s">
        <v>228</v>
      </c>
      <c r="E43" s="47" t="s">
        <v>414</v>
      </c>
      <c r="F43" s="14">
        <v>651</v>
      </c>
      <c r="G43" s="493">
        <v>138.476</v>
      </c>
      <c r="H43" s="53">
        <v>0</v>
      </c>
      <c r="I43" s="53">
        <v>0</v>
      </c>
      <c r="J43" s="53">
        <f t="shared" si="4"/>
        <v>138.476</v>
      </c>
      <c r="K43" s="53">
        <v>0</v>
      </c>
      <c r="L43" s="479">
        <f aca="true" t="shared" si="7" ref="L43:L55">IF(K43=0,0,(IF(J43/K43&gt;1,1,J43/K43)))</f>
        <v>0</v>
      </c>
      <c r="N43" s="81"/>
    </row>
    <row r="44" spans="1:14" ht="21" customHeight="1">
      <c r="A44" s="98">
        <v>14</v>
      </c>
      <c r="B44" s="5" t="s">
        <v>50</v>
      </c>
      <c r="C44" s="17">
        <f t="shared" si="5"/>
        <v>14</v>
      </c>
      <c r="D44" s="5" t="s">
        <v>229</v>
      </c>
      <c r="E44" s="47" t="s">
        <v>427</v>
      </c>
      <c r="F44" s="14">
        <v>1377</v>
      </c>
      <c r="G44" s="493">
        <v>1.876</v>
      </c>
      <c r="H44" s="53">
        <v>0</v>
      </c>
      <c r="I44" s="53">
        <v>1.088</v>
      </c>
      <c r="J44" s="53">
        <f t="shared" si="4"/>
        <v>2.964</v>
      </c>
      <c r="K44" s="53">
        <v>0</v>
      </c>
      <c r="L44" s="479">
        <f t="shared" si="7"/>
        <v>0</v>
      </c>
      <c r="N44" s="81"/>
    </row>
    <row r="45" spans="1:14" ht="21" customHeight="1">
      <c r="A45" s="98">
        <v>15</v>
      </c>
      <c r="B45" s="5" t="s">
        <v>44</v>
      </c>
      <c r="C45" s="17">
        <f t="shared" si="5"/>
        <v>15</v>
      </c>
      <c r="D45" s="5" t="s">
        <v>230</v>
      </c>
      <c r="E45" s="47" t="s">
        <v>336</v>
      </c>
      <c r="F45" s="261">
        <v>1.119</v>
      </c>
      <c r="G45" s="493">
        <v>6.892</v>
      </c>
      <c r="H45" s="53">
        <v>2.092</v>
      </c>
      <c r="I45" s="53">
        <v>0</v>
      </c>
      <c r="J45" s="53">
        <f t="shared" si="4"/>
        <v>8.984</v>
      </c>
      <c r="K45" s="53">
        <v>1.558</v>
      </c>
      <c r="L45" s="479">
        <f t="shared" si="7"/>
        <v>1</v>
      </c>
      <c r="N45" s="81"/>
    </row>
    <row r="46" spans="1:14" ht="21" customHeight="1">
      <c r="A46" s="98">
        <v>16</v>
      </c>
      <c r="B46" s="5" t="s">
        <v>49</v>
      </c>
      <c r="C46" s="17">
        <f t="shared" si="5"/>
        <v>16</v>
      </c>
      <c r="D46" s="5" t="s">
        <v>231</v>
      </c>
      <c r="E46" s="47" t="s">
        <v>428</v>
      </c>
      <c r="F46" s="14">
        <v>439</v>
      </c>
      <c r="G46" s="493">
        <v>0.985</v>
      </c>
      <c r="H46" s="53">
        <v>11.938</v>
      </c>
      <c r="I46" s="53">
        <v>0</v>
      </c>
      <c r="J46" s="53">
        <f t="shared" si="4"/>
        <v>12.923</v>
      </c>
      <c r="K46" s="53">
        <v>0.409</v>
      </c>
      <c r="L46" s="479">
        <f t="shared" si="7"/>
        <v>1</v>
      </c>
      <c r="N46" s="81"/>
    </row>
    <row r="47" spans="1:14" ht="21" customHeight="1">
      <c r="A47" s="98">
        <v>17</v>
      </c>
      <c r="B47" s="5" t="s">
        <v>50</v>
      </c>
      <c r="C47" s="17">
        <f t="shared" si="5"/>
        <v>17</v>
      </c>
      <c r="D47" s="5" t="s">
        <v>232</v>
      </c>
      <c r="E47" s="47" t="s">
        <v>429</v>
      </c>
      <c r="F47" s="14">
        <v>1386</v>
      </c>
      <c r="G47" s="493">
        <v>0.602</v>
      </c>
      <c r="H47" s="53">
        <v>0.102</v>
      </c>
      <c r="I47" s="53">
        <v>0.649</v>
      </c>
      <c r="J47" s="53">
        <f t="shared" si="4"/>
        <v>1.353</v>
      </c>
      <c r="K47" s="53">
        <v>1.24</v>
      </c>
      <c r="L47" s="479">
        <f t="shared" si="7"/>
        <v>1</v>
      </c>
      <c r="N47" s="81"/>
    </row>
    <row r="48" spans="1:14" ht="21" customHeight="1" thickBot="1">
      <c r="A48" s="98">
        <v>18</v>
      </c>
      <c r="B48" s="5" t="s">
        <v>49</v>
      </c>
      <c r="C48" s="17">
        <f t="shared" si="5"/>
        <v>18</v>
      </c>
      <c r="D48" s="5" t="s">
        <v>233</v>
      </c>
      <c r="E48" s="47" t="s">
        <v>430</v>
      </c>
      <c r="F48" s="14">
        <v>0.2</v>
      </c>
      <c r="G48" s="493">
        <v>0</v>
      </c>
      <c r="H48" s="53">
        <v>0</v>
      </c>
      <c r="I48" s="53">
        <v>0</v>
      </c>
      <c r="J48" s="53">
        <f t="shared" si="4"/>
        <v>0</v>
      </c>
      <c r="K48" s="53">
        <f>+I48+H48</f>
        <v>0</v>
      </c>
      <c r="L48" s="480">
        <f t="shared" si="7"/>
        <v>0</v>
      </c>
      <c r="N48" s="81"/>
    </row>
    <row r="49" spans="1:14" ht="27" customHeight="1" thickTop="1">
      <c r="A49" s="96"/>
      <c r="B49" s="116" t="s">
        <v>83</v>
      </c>
      <c r="C49" s="567" t="s">
        <v>136</v>
      </c>
      <c r="D49" s="568"/>
      <c r="E49" s="97"/>
      <c r="F49" s="46">
        <f aca="true" t="shared" si="8" ref="F49:K49">SUM(F31:F48)</f>
        <v>61807.751</v>
      </c>
      <c r="G49" s="97">
        <f t="shared" si="8"/>
        <v>355.5294999999999</v>
      </c>
      <c r="H49" s="97">
        <f t="shared" si="8"/>
        <v>55.36</v>
      </c>
      <c r="I49" s="97">
        <f t="shared" si="8"/>
        <v>12.477</v>
      </c>
      <c r="J49" s="97">
        <f t="shared" si="8"/>
        <v>423.3665</v>
      </c>
      <c r="K49" s="97">
        <f t="shared" si="8"/>
        <v>56.669000000000004</v>
      </c>
      <c r="L49" s="477">
        <f t="shared" si="7"/>
        <v>1</v>
      </c>
      <c r="M49" s="78">
        <f aca="true" t="shared" si="9" ref="M49:M54">J49/K49</f>
        <v>7.470865905521537</v>
      </c>
      <c r="N49" s="81">
        <f aca="true" t="shared" si="10" ref="N49:N54">J49/K49</f>
        <v>7.470865905521537</v>
      </c>
    </row>
    <row r="50" spans="1:14" ht="27" customHeight="1">
      <c r="A50" s="98"/>
      <c r="B50" s="117" t="s">
        <v>81</v>
      </c>
      <c r="C50" s="549" t="s">
        <v>82</v>
      </c>
      <c r="D50" s="550"/>
      <c r="E50" s="6"/>
      <c r="F50" s="14">
        <f aca="true" t="shared" si="11" ref="F50:K50">+F29</f>
        <v>51572</v>
      </c>
      <c r="G50" s="6">
        <f t="shared" si="11"/>
        <v>10.316000000000003</v>
      </c>
      <c r="H50" s="6">
        <f t="shared" si="11"/>
        <v>7.891</v>
      </c>
      <c r="I50" s="6">
        <f t="shared" si="11"/>
        <v>15.423</v>
      </c>
      <c r="J50" s="6">
        <f t="shared" si="11"/>
        <v>33.629999999999995</v>
      </c>
      <c r="K50" s="6">
        <f t="shared" si="11"/>
        <v>39.578</v>
      </c>
      <c r="L50" s="479">
        <f t="shared" si="7"/>
        <v>0.8497144878467834</v>
      </c>
      <c r="M50" s="78">
        <f t="shared" si="9"/>
        <v>0.8497144878467834</v>
      </c>
      <c r="N50" s="81">
        <f t="shared" si="10"/>
        <v>0.8497144878467834</v>
      </c>
    </row>
    <row r="51" spans="1:14" ht="27" customHeight="1">
      <c r="A51" s="98"/>
      <c r="B51" s="117" t="s">
        <v>79</v>
      </c>
      <c r="C51" s="549" t="s">
        <v>80</v>
      </c>
      <c r="D51" s="550"/>
      <c r="E51" s="6"/>
      <c r="F51" s="14">
        <f>+'BENG.SOLO'!F55</f>
        <v>46831.5</v>
      </c>
      <c r="G51" s="6">
        <f>+'BENG.SOLO'!G55</f>
        <v>125.988</v>
      </c>
      <c r="H51" s="6">
        <f>+'BENG.SOLO'!H55</f>
        <v>26.000000000000004</v>
      </c>
      <c r="I51" s="6">
        <f>+'BENG.SOLO'!I55</f>
        <v>10.091000000000001</v>
      </c>
      <c r="J51" s="6">
        <f>+'BENG.SOLO'!J55</f>
        <v>162.802</v>
      </c>
      <c r="K51" s="6">
        <f>+'BENG.SOLO'!K55</f>
        <v>36.38199999999999</v>
      </c>
      <c r="L51" s="479">
        <f t="shared" si="7"/>
        <v>1</v>
      </c>
      <c r="M51" s="78">
        <f t="shared" si="9"/>
        <v>4.474795228409654</v>
      </c>
      <c r="N51" s="81">
        <f t="shared" si="10"/>
        <v>4.474795228409654</v>
      </c>
    </row>
    <row r="52" spans="1:14" ht="27" customHeight="1">
      <c r="A52" s="98"/>
      <c r="B52" s="117" t="s">
        <v>77</v>
      </c>
      <c r="C52" s="549" t="s">
        <v>78</v>
      </c>
      <c r="D52" s="550"/>
      <c r="E52" s="47"/>
      <c r="F52" s="14">
        <f>+'PC-JT-SL'!F71</f>
        <v>80163</v>
      </c>
      <c r="G52" s="47">
        <f>+'PC-JT-SL'!G71</f>
        <v>0.522</v>
      </c>
      <c r="H52" s="6">
        <f>+'PC-JT-SL'!H71</f>
        <v>1.3890000000000002</v>
      </c>
      <c r="I52" s="6">
        <f>+'PC-JT-SL'!I71</f>
        <v>1.131</v>
      </c>
      <c r="J52" s="6">
        <f>+'PC-JT-SL'!J71</f>
        <v>3.0420000000000003</v>
      </c>
      <c r="K52" s="6">
        <f>+'PC-JT-SL'!K71</f>
        <v>2.652</v>
      </c>
      <c r="L52" s="479">
        <f t="shared" si="7"/>
        <v>1</v>
      </c>
      <c r="M52" s="78">
        <f t="shared" si="9"/>
        <v>1.147058823529412</v>
      </c>
      <c r="N52" s="81">
        <f t="shared" si="10"/>
        <v>1.147058823529412</v>
      </c>
    </row>
    <row r="53" spans="1:14" ht="27" customHeight="1">
      <c r="A53" s="98"/>
      <c r="B53" s="117" t="s">
        <v>75</v>
      </c>
      <c r="C53" s="549" t="s">
        <v>76</v>
      </c>
      <c r="D53" s="550"/>
      <c r="E53" s="6"/>
      <c r="F53" s="14">
        <f>+'PC-JT-SL'!F55</f>
        <v>43824.06</v>
      </c>
      <c r="G53" s="6">
        <f>+'PC-JT-SL'!G55</f>
        <v>46.07100000000001</v>
      </c>
      <c r="H53" s="6">
        <f>+'PC-JT-SL'!H55</f>
        <v>35.879</v>
      </c>
      <c r="I53" s="6">
        <f>+'PC-JT-SL'!I55</f>
        <v>15.475999999999999</v>
      </c>
      <c r="J53" s="6">
        <f>+'PC-JT-SL'!J55</f>
        <v>109.502</v>
      </c>
      <c r="K53" s="6">
        <f>+'PC-JT-SL'!K55</f>
        <v>51.355000000000004</v>
      </c>
      <c r="L53" s="479">
        <f t="shared" si="7"/>
        <v>1</v>
      </c>
      <c r="M53" s="78">
        <f t="shared" si="9"/>
        <v>2.132255866030571</v>
      </c>
      <c r="N53" s="81">
        <f t="shared" si="10"/>
        <v>2.132255866030571</v>
      </c>
    </row>
    <row r="54" spans="1:14" ht="27" customHeight="1" thickBot="1">
      <c r="A54" s="449"/>
      <c r="B54" s="450" t="s">
        <v>73</v>
      </c>
      <c r="C54" s="572" t="s">
        <v>74</v>
      </c>
      <c r="D54" s="573"/>
      <c r="E54" s="13"/>
      <c r="F54" s="15">
        <f>+'PC-JT-SL'!F42</f>
        <v>55144.16499999999</v>
      </c>
      <c r="G54" s="13">
        <f>+'PC-JT-SL'!G42</f>
        <v>105.08360000000002</v>
      </c>
      <c r="H54" s="13">
        <f>+'PC-JT-SL'!H42</f>
        <v>25.805000000000003</v>
      </c>
      <c r="I54" s="13">
        <f>+'PC-JT-SL'!I42</f>
        <v>52.254</v>
      </c>
      <c r="J54" s="13">
        <f>+'PC-JT-SL'!J42</f>
        <v>183.14260000000002</v>
      </c>
      <c r="K54" s="13">
        <f>+'PC-JT-SL'!K42</f>
        <v>87.50359999999999</v>
      </c>
      <c r="L54" s="480">
        <f t="shared" si="7"/>
        <v>1</v>
      </c>
      <c r="M54" s="78">
        <f t="shared" si="9"/>
        <v>2.0929721748590917</v>
      </c>
      <c r="N54" s="81">
        <f t="shared" si="10"/>
        <v>2.0929721748590917</v>
      </c>
    </row>
    <row r="55" spans="1:14" ht="33" customHeight="1" thickBot="1">
      <c r="A55" s="66"/>
      <c r="B55" s="574" t="s">
        <v>97</v>
      </c>
      <c r="C55" s="574"/>
      <c r="D55" s="574"/>
      <c r="E55" s="451"/>
      <c r="F55" s="452">
        <f aca="true" t="shared" si="12" ref="F55:K55">SUM(F49:F54)</f>
        <v>339342.47599999997</v>
      </c>
      <c r="G55" s="451">
        <f t="shared" si="12"/>
        <v>643.5101</v>
      </c>
      <c r="H55" s="451">
        <f t="shared" si="12"/>
        <v>152.324</v>
      </c>
      <c r="I55" s="451">
        <f t="shared" si="12"/>
        <v>106.852</v>
      </c>
      <c r="J55" s="451">
        <f t="shared" si="12"/>
        <v>915.4851</v>
      </c>
      <c r="K55" s="453">
        <f t="shared" si="12"/>
        <v>274.13960000000003</v>
      </c>
      <c r="L55" s="439">
        <f t="shared" si="7"/>
        <v>1</v>
      </c>
      <c r="N55" s="82"/>
    </row>
    <row r="56" spans="1:12" ht="21" customHeight="1" thickBot="1">
      <c r="A56" s="42"/>
      <c r="B56" s="180" t="s">
        <v>173</v>
      </c>
      <c r="C56" s="1"/>
      <c r="D56" s="183" t="s">
        <v>192</v>
      </c>
      <c r="E56" s="183"/>
      <c r="F56" s="118"/>
      <c r="G56" s="1"/>
      <c r="H56" s="43"/>
      <c r="I56" s="1"/>
      <c r="J56" s="1"/>
      <c r="K56" s="1"/>
      <c r="L56" s="120"/>
    </row>
    <row r="57" spans="1:12" ht="16.5" customHeight="1" thickBot="1">
      <c r="A57" s="42"/>
      <c r="B57" s="1"/>
      <c r="C57" s="1"/>
      <c r="D57" s="183" t="s">
        <v>191</v>
      </c>
      <c r="E57" s="183"/>
      <c r="F57" s="178"/>
      <c r="G57" s="181" t="s">
        <v>190</v>
      </c>
      <c r="H57" s="181"/>
      <c r="I57" s="181"/>
      <c r="J57" s="1"/>
      <c r="K57" s="120"/>
      <c r="L57" s="120"/>
    </row>
    <row r="58" spans="1:12" ht="12.75" customHeight="1" thickBot="1">
      <c r="A58" s="566"/>
      <c r="B58" s="566"/>
      <c r="C58" s="1"/>
      <c r="D58" s="183" t="s">
        <v>176</v>
      </c>
      <c r="E58" s="183"/>
      <c r="F58" s="111"/>
      <c r="G58" s="182"/>
      <c r="H58" s="182"/>
      <c r="I58" s="182"/>
      <c r="J58" s="1"/>
      <c r="K58" s="120"/>
      <c r="L58" s="120"/>
    </row>
    <row r="59" spans="1:12" ht="16.5" customHeight="1" thickBot="1">
      <c r="A59" s="42"/>
      <c r="B59" s="1"/>
      <c r="C59" s="1"/>
      <c r="D59" s="111"/>
      <c r="E59" s="111"/>
      <c r="F59" s="189"/>
      <c r="G59" s="181" t="s">
        <v>187</v>
      </c>
      <c r="H59" s="182"/>
      <c r="I59" s="182"/>
      <c r="J59" s="1"/>
      <c r="K59" s="43"/>
      <c r="L59" s="43"/>
    </row>
    <row r="60" spans="4:9" ht="6.75" customHeight="1" thickBot="1">
      <c r="D60" s="111"/>
      <c r="E60" s="111"/>
      <c r="F60" s="111"/>
      <c r="G60" s="182"/>
      <c r="H60" s="182"/>
      <c r="I60" s="182"/>
    </row>
    <row r="61" spans="6:9" ht="18.75" customHeight="1" thickBot="1">
      <c r="F61" s="188"/>
      <c r="G61" s="181" t="s">
        <v>189</v>
      </c>
      <c r="H61" s="182"/>
      <c r="I61" s="182"/>
    </row>
    <row r="62" spans="6:9" ht="6.75" customHeight="1" thickBot="1">
      <c r="F62" s="111"/>
      <c r="G62" s="182"/>
      <c r="H62" s="182"/>
      <c r="I62" s="182"/>
    </row>
    <row r="63" spans="6:9" ht="18.75" customHeight="1" thickBot="1">
      <c r="F63" s="190"/>
      <c r="G63" s="181" t="s">
        <v>188</v>
      </c>
      <c r="H63" s="182"/>
      <c r="I63" s="182"/>
    </row>
    <row r="64" spans="7:9" ht="14.25">
      <c r="G64" s="143"/>
      <c r="H64" s="143"/>
      <c r="I64" s="143"/>
    </row>
    <row r="65" spans="8:9" ht="14.25">
      <c r="H65" s="143"/>
      <c r="I65" s="143"/>
    </row>
  </sheetData>
  <sheetProtection/>
  <mergeCells count="20">
    <mergeCell ref="G10:J10"/>
    <mergeCell ref="B10:D10"/>
    <mergeCell ref="A58:B58"/>
    <mergeCell ref="C49:D49"/>
    <mergeCell ref="B29:D29"/>
    <mergeCell ref="C54:D54"/>
    <mergeCell ref="C50:D50"/>
    <mergeCell ref="B55:D55"/>
    <mergeCell ref="C53:D53"/>
    <mergeCell ref="C52:D52"/>
    <mergeCell ref="C51:D51"/>
    <mergeCell ref="B30:D30"/>
    <mergeCell ref="A2:L2"/>
    <mergeCell ref="A4:L4"/>
    <mergeCell ref="A6:A8"/>
    <mergeCell ref="D6:D8"/>
    <mergeCell ref="H6:I6"/>
    <mergeCell ref="A3:L3"/>
    <mergeCell ref="L7:L8"/>
    <mergeCell ref="B6:C8"/>
  </mergeCells>
  <printOptions horizontalCentered="1" verticalCentered="1"/>
  <pageMargins left="0" right="0" top="0" bottom="1.25" header="0" footer="0"/>
  <pageSetup horizontalDpi="300" verticalDpi="300" orientation="portrait" scale="50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00"/>
  <sheetViews>
    <sheetView zoomScale="130" zoomScaleNormal="130" zoomScalePageLayoutView="0" workbookViewId="0" topLeftCell="C7">
      <selection activeCell="G43" sqref="G43:K43"/>
    </sheetView>
  </sheetViews>
  <sheetFormatPr defaultColWidth="9.140625" defaultRowHeight="12.75"/>
  <cols>
    <col min="1" max="1" width="7.421875" style="0" customWidth="1"/>
    <col min="2" max="2" width="24.28125" style="0" customWidth="1"/>
    <col min="3" max="3" width="0.13671875" style="0" customWidth="1"/>
    <col min="4" max="4" width="22.57421875" style="0" customWidth="1"/>
    <col min="5" max="5" width="17.8515625" style="0" customWidth="1"/>
    <col min="6" max="6" width="10.00390625" style="0" customWidth="1"/>
    <col min="7" max="7" width="13.7109375" style="0" customWidth="1"/>
    <col min="8" max="8" width="9.710937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4" width="16.140625" style="0" customWidth="1"/>
    <col min="15" max="15" width="11.140625" style="0" bestFit="1" customWidth="1"/>
    <col min="50" max="50" width="5.00390625" style="0" customWidth="1"/>
    <col min="51" max="51" width="19.28125" style="0" customWidth="1"/>
    <col min="52" max="52" width="17.57421875" style="0" customWidth="1"/>
    <col min="53" max="53" width="19.7109375" style="0" customWidth="1"/>
    <col min="55" max="55" width="10.421875" style="0" customWidth="1"/>
    <col min="58" max="58" width="10.28125" style="0" customWidth="1"/>
    <col min="59" max="59" width="10.421875" style="0" customWidth="1"/>
  </cols>
  <sheetData>
    <row r="1" spans="4:61" ht="22.5" customHeight="1">
      <c r="D1" s="397" t="s">
        <v>334</v>
      </c>
      <c r="E1" s="397"/>
      <c r="F1" s="397"/>
      <c r="AY1" s="301"/>
      <c r="AZ1" s="579" t="s">
        <v>263</v>
      </c>
      <c r="BA1" s="579"/>
      <c r="BB1" s="579"/>
      <c r="BC1" s="579"/>
      <c r="BD1" s="579"/>
      <c r="BE1" s="579"/>
      <c r="BF1" s="579"/>
      <c r="BG1" s="580"/>
      <c r="BH1" s="580"/>
      <c r="BI1" s="580"/>
    </row>
    <row r="2" spans="10:61" ht="22.5" customHeight="1">
      <c r="J2" s="290"/>
      <c r="K2" s="290"/>
      <c r="L2" s="291"/>
      <c r="AX2" s="301"/>
      <c r="AY2" s="301"/>
      <c r="AZ2" s="579" t="s">
        <v>264</v>
      </c>
      <c r="BA2" s="579"/>
      <c r="BB2" s="579"/>
      <c r="BC2" s="579"/>
      <c r="BD2" s="579"/>
      <c r="BE2" s="579"/>
      <c r="BF2" s="579"/>
      <c r="BG2" s="301"/>
      <c r="BH2" s="301"/>
      <c r="BI2" s="301"/>
    </row>
    <row r="3" spans="1:61" ht="24.75">
      <c r="A3" s="509" t="s">
        <v>254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166"/>
      <c r="N3" s="27"/>
      <c r="AX3" s="301"/>
      <c r="AY3" s="301"/>
      <c r="AZ3" s="579" t="s">
        <v>265</v>
      </c>
      <c r="BA3" s="579"/>
      <c r="BB3" s="579"/>
      <c r="BC3" s="579"/>
      <c r="BD3" s="579"/>
      <c r="BE3" s="579"/>
      <c r="BF3" s="579"/>
      <c r="BG3" s="301"/>
      <c r="BH3" s="301"/>
      <c r="BI3" s="301"/>
    </row>
    <row r="4" spans="1:61" ht="24.75">
      <c r="A4" s="509" t="s">
        <v>144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166"/>
      <c r="N4" s="27"/>
      <c r="AX4" s="301"/>
      <c r="AY4" s="301"/>
      <c r="AZ4" s="579" t="s">
        <v>266</v>
      </c>
      <c r="BA4" s="579"/>
      <c r="BB4" s="579"/>
      <c r="BC4" s="579"/>
      <c r="BD4" s="579"/>
      <c r="BE4" s="579"/>
      <c r="BF4" s="579"/>
      <c r="BG4" s="301"/>
      <c r="BH4" s="301"/>
      <c r="BI4" s="301"/>
    </row>
    <row r="5" spans="1:14" ht="22.5" thickBot="1">
      <c r="A5" s="509" t="s">
        <v>439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1"/>
      <c r="N5" s="154"/>
    </row>
    <row r="6" spans="1:61" ht="15.75" customHeight="1" thickBot="1">
      <c r="A6" s="1" t="s">
        <v>72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7"/>
      <c r="AX6" s="581" t="s">
        <v>267</v>
      </c>
      <c r="AY6" s="302" t="s">
        <v>4</v>
      </c>
      <c r="AZ6" s="302" t="s">
        <v>268</v>
      </c>
      <c r="BA6" s="302" t="s">
        <v>269</v>
      </c>
      <c r="BB6" s="303" t="s">
        <v>270</v>
      </c>
      <c r="BC6" s="302" t="s">
        <v>271</v>
      </c>
      <c r="BD6" s="583" t="s">
        <v>272</v>
      </c>
      <c r="BE6" s="584"/>
      <c r="BF6" s="302" t="s">
        <v>273</v>
      </c>
      <c r="BG6" s="302" t="s">
        <v>274</v>
      </c>
      <c r="BH6" s="302" t="s">
        <v>275</v>
      </c>
      <c r="BI6" s="577" t="s">
        <v>276</v>
      </c>
    </row>
    <row r="7" spans="1:61" ht="17.25" customHeight="1" thickBot="1" thickTop="1">
      <c r="A7" s="531" t="s">
        <v>0</v>
      </c>
      <c r="B7" s="541" t="s">
        <v>95</v>
      </c>
      <c r="C7" s="542"/>
      <c r="D7" s="533" t="s">
        <v>216</v>
      </c>
      <c r="E7" s="144"/>
      <c r="F7" s="144" t="s">
        <v>51</v>
      </c>
      <c r="G7" s="146" t="s">
        <v>57</v>
      </c>
      <c r="H7" s="535" t="s">
        <v>54</v>
      </c>
      <c r="I7" s="536"/>
      <c r="J7" s="150" t="s">
        <v>57</v>
      </c>
      <c r="K7" s="152" t="s">
        <v>57</v>
      </c>
      <c r="L7" s="155" t="s">
        <v>60</v>
      </c>
      <c r="M7" s="244"/>
      <c r="N7" s="86" t="s">
        <v>162</v>
      </c>
      <c r="AX7" s="582"/>
      <c r="AY7" s="305" t="s">
        <v>277</v>
      </c>
      <c r="AZ7" s="305" t="s">
        <v>278</v>
      </c>
      <c r="BA7" s="305" t="s">
        <v>279</v>
      </c>
      <c r="BB7" s="306" t="s">
        <v>279</v>
      </c>
      <c r="BC7" s="305" t="s">
        <v>280</v>
      </c>
      <c r="BD7" s="577" t="s">
        <v>281</v>
      </c>
      <c r="BE7" s="577" t="s">
        <v>282</v>
      </c>
      <c r="BF7" s="305" t="s">
        <v>280</v>
      </c>
      <c r="BG7" s="305" t="s">
        <v>280</v>
      </c>
      <c r="BH7" s="305" t="s">
        <v>61</v>
      </c>
      <c r="BI7" s="582"/>
    </row>
    <row r="8" spans="1:61" ht="16.5" thickBot="1">
      <c r="A8" s="532"/>
      <c r="B8" s="543"/>
      <c r="C8" s="544"/>
      <c r="D8" s="534"/>
      <c r="E8" s="145" t="s">
        <v>329</v>
      </c>
      <c r="F8" s="145" t="s">
        <v>52</v>
      </c>
      <c r="G8" s="147" t="s">
        <v>62</v>
      </c>
      <c r="H8" s="148" t="s">
        <v>55</v>
      </c>
      <c r="I8" s="149" t="s">
        <v>56</v>
      </c>
      <c r="J8" s="151" t="s">
        <v>58</v>
      </c>
      <c r="K8" s="153" t="s">
        <v>59</v>
      </c>
      <c r="L8" s="547" t="s">
        <v>61</v>
      </c>
      <c r="M8" s="263"/>
      <c r="N8" s="86" t="s">
        <v>160</v>
      </c>
      <c r="AX8" s="578"/>
      <c r="AY8" s="307" t="s">
        <v>283</v>
      </c>
      <c r="AZ8" s="308"/>
      <c r="BA8" s="307"/>
      <c r="BB8" s="309" t="s">
        <v>284</v>
      </c>
      <c r="BC8" s="308"/>
      <c r="BD8" s="578"/>
      <c r="BE8" s="578"/>
      <c r="BF8" s="308"/>
      <c r="BG8" s="308"/>
      <c r="BH8" s="308"/>
      <c r="BI8" s="578"/>
    </row>
    <row r="9" spans="1:61" ht="18.75" thickBot="1">
      <c r="A9" s="532"/>
      <c r="B9" s="545"/>
      <c r="C9" s="546"/>
      <c r="D9" s="534"/>
      <c r="E9" s="396"/>
      <c r="F9" s="145" t="s">
        <v>53</v>
      </c>
      <c r="G9" s="158" t="s">
        <v>98</v>
      </c>
      <c r="H9" s="159" t="s">
        <v>98</v>
      </c>
      <c r="I9" s="160" t="s">
        <v>98</v>
      </c>
      <c r="J9" s="156" t="s">
        <v>98</v>
      </c>
      <c r="K9" s="157" t="s">
        <v>98</v>
      </c>
      <c r="L9" s="548"/>
      <c r="M9" s="243"/>
      <c r="N9" s="27"/>
      <c r="AN9" s="281"/>
      <c r="AX9" s="310">
        <v>1</v>
      </c>
      <c r="AY9" s="310">
        <v>2</v>
      </c>
      <c r="AZ9" s="310">
        <v>3</v>
      </c>
      <c r="BA9" s="310">
        <v>4</v>
      </c>
      <c r="BB9" s="304">
        <v>5</v>
      </c>
      <c r="BC9" s="310">
        <v>12</v>
      </c>
      <c r="BD9" s="310">
        <v>13</v>
      </c>
      <c r="BE9" s="310">
        <v>14</v>
      </c>
      <c r="BF9" s="310" t="s">
        <v>285</v>
      </c>
      <c r="BG9" s="310">
        <v>16</v>
      </c>
      <c r="BH9" s="310" t="s">
        <v>286</v>
      </c>
      <c r="BI9" s="310">
        <v>18</v>
      </c>
    </row>
    <row r="10" spans="1:61" ht="16.5" thickBot="1">
      <c r="A10" s="379">
        <v>1</v>
      </c>
      <c r="B10" s="380">
        <v>2</v>
      </c>
      <c r="C10" s="381"/>
      <c r="D10" s="382">
        <v>3</v>
      </c>
      <c r="E10" s="382"/>
      <c r="F10" s="382">
        <v>4</v>
      </c>
      <c r="G10" s="382">
        <v>5</v>
      </c>
      <c r="H10" s="382">
        <v>6</v>
      </c>
      <c r="I10" s="382">
        <v>7</v>
      </c>
      <c r="J10" s="382" t="s">
        <v>64</v>
      </c>
      <c r="K10" s="382">
        <v>9</v>
      </c>
      <c r="L10" s="383">
        <v>10</v>
      </c>
      <c r="M10" s="244"/>
      <c r="N10" s="27"/>
      <c r="AX10" s="311"/>
      <c r="AY10" s="312"/>
      <c r="AZ10" s="305"/>
      <c r="BA10" s="305"/>
      <c r="BB10" s="306"/>
      <c r="BC10" s="305"/>
      <c r="BD10" s="305"/>
      <c r="BE10" s="305"/>
      <c r="BF10" s="305"/>
      <c r="BG10" s="305"/>
      <c r="BH10" s="305"/>
      <c r="BI10" s="305"/>
    </row>
    <row r="11" spans="1:61" ht="27" customHeight="1" thickBot="1">
      <c r="A11" s="389" t="s">
        <v>73</v>
      </c>
      <c r="B11" s="590" t="s">
        <v>74</v>
      </c>
      <c r="C11" s="591"/>
      <c r="D11" s="591"/>
      <c r="E11" s="408"/>
      <c r="F11" s="390"/>
      <c r="G11" s="390"/>
      <c r="H11" s="390"/>
      <c r="I11" s="390"/>
      <c r="J11" s="390"/>
      <c r="K11" s="390"/>
      <c r="L11" s="391"/>
      <c r="M11" s="167"/>
      <c r="N11" s="27"/>
      <c r="AX11" s="313">
        <v>1</v>
      </c>
      <c r="AY11" s="314" t="s">
        <v>287</v>
      </c>
      <c r="AZ11" s="314" t="s">
        <v>288</v>
      </c>
      <c r="BA11" s="315" t="s">
        <v>289</v>
      </c>
      <c r="BB11" s="316">
        <v>3040</v>
      </c>
      <c r="BC11" s="317">
        <v>1.6192</v>
      </c>
      <c r="BD11" s="318">
        <v>2.311</v>
      </c>
      <c r="BE11" s="319"/>
      <c r="BF11" s="318">
        <f>BC11+BD11+BE11</f>
        <v>3.9302</v>
      </c>
      <c r="BG11" s="320">
        <f>BD11</f>
        <v>2.311</v>
      </c>
      <c r="BH11" s="321">
        <f>BD11/BG11</f>
        <v>1</v>
      </c>
      <c r="BI11" s="322"/>
    </row>
    <row r="12" spans="1:61" ht="22.5" customHeight="1">
      <c r="A12" s="401">
        <v>1</v>
      </c>
      <c r="B12" s="384" t="s">
        <v>8</v>
      </c>
      <c r="C12" s="280"/>
      <c r="D12" s="385" t="s">
        <v>218</v>
      </c>
      <c r="E12" s="411" t="s">
        <v>330</v>
      </c>
      <c r="F12" s="393">
        <v>3.04</v>
      </c>
      <c r="G12" s="497">
        <v>2.473</v>
      </c>
      <c r="H12" s="386">
        <v>1.826</v>
      </c>
      <c r="I12" s="456">
        <v>0</v>
      </c>
      <c r="J12" s="386">
        <f>G12+H12+I12</f>
        <v>4.2989999999999995</v>
      </c>
      <c r="K12" s="387">
        <v>1.8256</v>
      </c>
      <c r="L12" s="388">
        <f>IF(K12=0,0,(IF(J12/K12&gt;1,1,J12/K12)))</f>
        <v>1</v>
      </c>
      <c r="M12" s="168"/>
      <c r="N12" s="87"/>
      <c r="O12" s="81">
        <f>+J12/K12</f>
        <v>2.3548422436459244</v>
      </c>
      <c r="AX12" s="323"/>
      <c r="AY12" s="324"/>
      <c r="AZ12" s="324" t="s">
        <v>290</v>
      </c>
      <c r="BA12" s="325"/>
      <c r="BB12" s="326"/>
      <c r="BC12" s="327"/>
      <c r="BD12" s="328"/>
      <c r="BE12" s="329"/>
      <c r="BF12" s="328"/>
      <c r="BG12" s="330"/>
      <c r="BH12" s="321"/>
      <c r="BI12" s="331"/>
    </row>
    <row r="13" spans="1:61" ht="22.5" customHeight="1">
      <c r="A13" s="402">
        <f aca="true" t="shared" si="0" ref="A13:A41">+A12+1</f>
        <v>2</v>
      </c>
      <c r="B13" s="278" t="s">
        <v>8</v>
      </c>
      <c r="C13" s="280"/>
      <c r="D13" s="121" t="s">
        <v>66</v>
      </c>
      <c r="E13" s="412" t="s">
        <v>331</v>
      </c>
      <c r="F13" s="368">
        <v>3.519</v>
      </c>
      <c r="G13" s="498">
        <v>13.359</v>
      </c>
      <c r="H13" s="392">
        <v>0</v>
      </c>
      <c r="I13" s="362">
        <v>2.509</v>
      </c>
      <c r="J13" s="386">
        <f aca="true" t="shared" si="1" ref="J13:J41">G13+H13+I13</f>
        <v>15.868</v>
      </c>
      <c r="K13" s="363">
        <v>2.509</v>
      </c>
      <c r="L13" s="388">
        <f aca="true" t="shared" si="2" ref="L13:L42">IF(K13=0,0,(IF(J13/K13&gt;1,1,J13/K13)))</f>
        <v>1</v>
      </c>
      <c r="M13" s="168"/>
      <c r="N13" s="87"/>
      <c r="O13" s="81"/>
      <c r="AX13" s="323">
        <v>2</v>
      </c>
      <c r="AY13" s="324" t="s">
        <v>291</v>
      </c>
      <c r="AZ13" s="324" t="s">
        <v>288</v>
      </c>
      <c r="BA13" s="324" t="s">
        <v>291</v>
      </c>
      <c r="BB13" s="326">
        <v>3519</v>
      </c>
      <c r="BC13" s="317">
        <v>27.726</v>
      </c>
      <c r="BD13" s="332">
        <v>0</v>
      </c>
      <c r="BE13" s="328">
        <v>2.06</v>
      </c>
      <c r="BF13" s="328">
        <f>BC13+BD13+BE13</f>
        <v>29.785999999999998</v>
      </c>
      <c r="BG13" s="330">
        <f>BE13</f>
        <v>2.06</v>
      </c>
      <c r="BH13" s="321">
        <f>(BD13+BE13)/BG13</f>
        <v>1</v>
      </c>
      <c r="BI13" s="333"/>
    </row>
    <row r="14" spans="1:61" ht="22.5" customHeight="1">
      <c r="A14" s="402">
        <f t="shared" si="0"/>
        <v>3</v>
      </c>
      <c r="B14" s="278" t="s">
        <v>207</v>
      </c>
      <c r="C14" s="280"/>
      <c r="D14" s="121" t="s">
        <v>65</v>
      </c>
      <c r="E14" s="413" t="s">
        <v>333</v>
      </c>
      <c r="F14" s="465">
        <v>7.548</v>
      </c>
      <c r="G14" s="498">
        <v>10.176</v>
      </c>
      <c r="H14" s="362">
        <v>3.031</v>
      </c>
      <c r="I14" s="362">
        <v>1.048</v>
      </c>
      <c r="J14" s="386">
        <f t="shared" si="1"/>
        <v>14.255</v>
      </c>
      <c r="K14" s="363">
        <v>8.42</v>
      </c>
      <c r="L14" s="388">
        <f t="shared" si="2"/>
        <v>1</v>
      </c>
      <c r="M14" s="168"/>
      <c r="N14" s="87"/>
      <c r="O14" s="81"/>
      <c r="AX14" s="323">
        <v>3</v>
      </c>
      <c r="AY14" s="324" t="s">
        <v>292</v>
      </c>
      <c r="AZ14" s="324" t="s">
        <v>293</v>
      </c>
      <c r="BA14" s="324" t="s">
        <v>292</v>
      </c>
      <c r="BB14" s="326">
        <v>7548</v>
      </c>
      <c r="BC14" s="317">
        <v>16.695</v>
      </c>
      <c r="BD14" s="328">
        <v>2.955</v>
      </c>
      <c r="BE14" s="328">
        <v>1.264</v>
      </c>
      <c r="BF14" s="328">
        <f>BC14+BD14+BE14</f>
        <v>20.913999999999998</v>
      </c>
      <c r="BG14" s="330">
        <f>BD14+BE14</f>
        <v>4.219</v>
      </c>
      <c r="BH14" s="321">
        <v>1</v>
      </c>
      <c r="BI14" s="331"/>
    </row>
    <row r="15" spans="1:61" ht="22.5" customHeight="1">
      <c r="A15" s="402">
        <f t="shared" si="0"/>
        <v>4</v>
      </c>
      <c r="B15" s="279" t="s">
        <v>3</v>
      </c>
      <c r="C15" s="280"/>
      <c r="D15" s="259" t="s">
        <v>215</v>
      </c>
      <c r="E15" s="414" t="s">
        <v>332</v>
      </c>
      <c r="F15" s="360">
        <v>26952</v>
      </c>
      <c r="G15" s="499">
        <v>0</v>
      </c>
      <c r="H15" s="362">
        <v>12.414</v>
      </c>
      <c r="I15" s="362">
        <v>0</v>
      </c>
      <c r="J15" s="386">
        <f t="shared" si="1"/>
        <v>12.414</v>
      </c>
      <c r="K15" s="363">
        <v>12.414</v>
      </c>
      <c r="L15" s="388">
        <f t="shared" si="2"/>
        <v>1</v>
      </c>
      <c r="M15" s="168"/>
      <c r="N15" s="27"/>
      <c r="O15" s="81">
        <f aca="true" t="shared" si="3" ref="O15:O71">+J15/K15</f>
        <v>1</v>
      </c>
      <c r="AX15" s="323">
        <v>4</v>
      </c>
      <c r="AY15" s="324" t="s">
        <v>294</v>
      </c>
      <c r="AZ15" s="324" t="s">
        <v>295</v>
      </c>
      <c r="BA15" s="325" t="s">
        <v>296</v>
      </c>
      <c r="BB15" s="326">
        <v>26952</v>
      </c>
      <c r="BC15" s="334">
        <f>'[1]notog'!BA11</f>
        <v>0</v>
      </c>
      <c r="BD15" s="328">
        <f>'[1]notog'!AY11</f>
        <v>0</v>
      </c>
      <c r="BE15" s="328"/>
      <c r="BF15" s="328">
        <f>BC15+BD15+BE15</f>
        <v>0</v>
      </c>
      <c r="BG15" s="330">
        <v>32.701</v>
      </c>
      <c r="BH15" s="321">
        <f>BD15/BG15</f>
        <v>0</v>
      </c>
      <c r="BI15" s="331"/>
    </row>
    <row r="16" spans="1:61" ht="22.5" customHeight="1">
      <c r="A16" s="402">
        <f t="shared" si="0"/>
        <v>5</v>
      </c>
      <c r="B16" s="279" t="s">
        <v>7</v>
      </c>
      <c r="C16" s="280"/>
      <c r="D16" s="259" t="s">
        <v>236</v>
      </c>
      <c r="E16" s="415" t="s">
        <v>342</v>
      </c>
      <c r="F16" s="361">
        <v>9.005</v>
      </c>
      <c r="G16" s="500">
        <v>14.388</v>
      </c>
      <c r="H16" s="392">
        <v>0</v>
      </c>
      <c r="I16" s="362">
        <v>10.714</v>
      </c>
      <c r="J16" s="386">
        <f t="shared" si="1"/>
        <v>25.102</v>
      </c>
      <c r="K16" s="363">
        <v>10.714</v>
      </c>
      <c r="L16" s="388">
        <f t="shared" si="2"/>
        <v>1</v>
      </c>
      <c r="M16" s="168"/>
      <c r="N16" s="27"/>
      <c r="O16" s="81"/>
      <c r="AX16" s="323">
        <v>5</v>
      </c>
      <c r="AY16" s="324" t="s">
        <v>297</v>
      </c>
      <c r="AZ16" s="324" t="s">
        <v>298</v>
      </c>
      <c r="BA16" s="325" t="s">
        <v>299</v>
      </c>
      <c r="BB16" s="326">
        <v>9005</v>
      </c>
      <c r="BC16" s="328">
        <v>45.887</v>
      </c>
      <c r="BD16" s="332">
        <v>0</v>
      </c>
      <c r="BE16" s="328">
        <v>8.035</v>
      </c>
      <c r="BF16" s="328">
        <f>BC16+BD16+BE16</f>
        <v>53.922</v>
      </c>
      <c r="BG16" s="330">
        <v>9.042</v>
      </c>
      <c r="BH16" s="321">
        <f>BE16/BG16</f>
        <v>0.8886308338863084</v>
      </c>
      <c r="BI16" s="331" t="s">
        <v>300</v>
      </c>
    </row>
    <row r="17" spans="1:61" ht="22.5" customHeight="1">
      <c r="A17" s="402">
        <f t="shared" si="0"/>
        <v>6</v>
      </c>
      <c r="B17" s="279" t="s">
        <v>239</v>
      </c>
      <c r="C17" s="280"/>
      <c r="D17" s="259" t="s">
        <v>237</v>
      </c>
      <c r="E17" s="415" t="s">
        <v>343</v>
      </c>
      <c r="F17" s="361">
        <v>3.212</v>
      </c>
      <c r="G17" s="500">
        <v>3.495</v>
      </c>
      <c r="H17" s="364">
        <v>0</v>
      </c>
      <c r="I17" s="365">
        <v>2.518</v>
      </c>
      <c r="J17" s="386">
        <f t="shared" si="1"/>
        <v>6.013</v>
      </c>
      <c r="K17" s="363">
        <v>2.518</v>
      </c>
      <c r="L17" s="388">
        <f t="shared" si="2"/>
        <v>1</v>
      </c>
      <c r="M17" s="168"/>
      <c r="N17" s="27"/>
      <c r="O17" s="81"/>
      <c r="AX17" s="323">
        <v>6</v>
      </c>
      <c r="AY17" s="324" t="s">
        <v>301</v>
      </c>
      <c r="AZ17" s="324" t="s">
        <v>302</v>
      </c>
      <c r="BA17" s="325" t="s">
        <v>303</v>
      </c>
      <c r="BB17" s="326">
        <v>3211</v>
      </c>
      <c r="BC17" s="328">
        <v>14.816</v>
      </c>
      <c r="BD17" s="332">
        <v>0</v>
      </c>
      <c r="BE17" s="335">
        <f>BG17</f>
        <v>2.191</v>
      </c>
      <c r="BF17" s="328">
        <v>17.007</v>
      </c>
      <c r="BG17" s="336">
        <v>2.191</v>
      </c>
      <c r="BH17" s="321">
        <f>BE17/BG17</f>
        <v>1</v>
      </c>
      <c r="BI17" s="331"/>
    </row>
    <row r="18" spans="1:61" ht="22.5" customHeight="1">
      <c r="A18" s="402">
        <f t="shared" si="0"/>
        <v>7</v>
      </c>
      <c r="B18" s="279" t="s">
        <v>7</v>
      </c>
      <c r="C18" s="280"/>
      <c r="D18" s="259" t="s">
        <v>238</v>
      </c>
      <c r="E18" s="415" t="s">
        <v>344</v>
      </c>
      <c r="F18" s="361">
        <v>7.277</v>
      </c>
      <c r="G18" s="501">
        <v>0.617</v>
      </c>
      <c r="H18" s="365">
        <v>0</v>
      </c>
      <c r="I18" s="366">
        <v>5.13</v>
      </c>
      <c r="J18" s="386">
        <f t="shared" si="1"/>
        <v>5.747</v>
      </c>
      <c r="K18" s="363">
        <v>5.13</v>
      </c>
      <c r="L18" s="388">
        <f t="shared" si="2"/>
        <v>1</v>
      </c>
      <c r="M18" s="168"/>
      <c r="N18" s="27"/>
      <c r="O18" s="81"/>
      <c r="AX18" s="323">
        <v>7</v>
      </c>
      <c r="AY18" s="324" t="s">
        <v>304</v>
      </c>
      <c r="AZ18" s="324" t="s">
        <v>298</v>
      </c>
      <c r="BA18" s="325" t="s">
        <v>304</v>
      </c>
      <c r="BB18" s="326">
        <v>7277</v>
      </c>
      <c r="BC18" s="332">
        <v>0</v>
      </c>
      <c r="BD18" s="335">
        <v>1.807</v>
      </c>
      <c r="BE18" s="337">
        <v>5.13</v>
      </c>
      <c r="BF18" s="328">
        <f>BD18+BE18</f>
        <v>6.936999999999999</v>
      </c>
      <c r="BG18" s="336">
        <f>BD18+BE18</f>
        <v>6.936999999999999</v>
      </c>
      <c r="BH18" s="321">
        <f>(BD18+BE18)/BG18</f>
        <v>1</v>
      </c>
      <c r="BI18" s="331"/>
    </row>
    <row r="19" spans="1:61" ht="22.5" customHeight="1">
      <c r="A19" s="402">
        <f t="shared" si="0"/>
        <v>8</v>
      </c>
      <c r="B19" s="279" t="s">
        <v>240</v>
      </c>
      <c r="C19" s="280"/>
      <c r="D19" s="259" t="s">
        <v>241</v>
      </c>
      <c r="E19" s="415" t="s">
        <v>307</v>
      </c>
      <c r="F19" s="361">
        <v>2.147</v>
      </c>
      <c r="G19" s="501">
        <v>0</v>
      </c>
      <c r="H19" s="364">
        <v>0</v>
      </c>
      <c r="I19" s="366">
        <v>1.2</v>
      </c>
      <c r="J19" s="386">
        <f t="shared" si="1"/>
        <v>1.2</v>
      </c>
      <c r="K19" s="363">
        <v>1.496</v>
      </c>
      <c r="L19" s="388">
        <f t="shared" si="2"/>
        <v>0.8021390374331551</v>
      </c>
      <c r="M19" s="169" t="s">
        <v>244</v>
      </c>
      <c r="N19" s="27"/>
      <c r="O19" s="81"/>
      <c r="AX19" s="323">
        <v>8</v>
      </c>
      <c r="AY19" s="324" t="s">
        <v>305</v>
      </c>
      <c r="AZ19" s="324" t="s">
        <v>306</v>
      </c>
      <c r="BA19" s="324" t="s">
        <v>307</v>
      </c>
      <c r="BB19" s="326">
        <v>2147</v>
      </c>
      <c r="BC19" s="332">
        <v>0</v>
      </c>
      <c r="BD19" s="332">
        <v>0</v>
      </c>
      <c r="BE19" s="337">
        <v>1.8</v>
      </c>
      <c r="BF19" s="328">
        <f aca="true" t="shared" si="4" ref="BF19:BF25">BC19+BD19+BE19</f>
        <v>1.8</v>
      </c>
      <c r="BG19" s="330">
        <v>2.281</v>
      </c>
      <c r="BH19" s="321">
        <f>BE19/BG19</f>
        <v>0.789127575624726</v>
      </c>
      <c r="BI19" s="324"/>
    </row>
    <row r="20" spans="1:61" ht="22.5" customHeight="1">
      <c r="A20" s="402">
        <f t="shared" si="0"/>
        <v>9</v>
      </c>
      <c r="B20" s="279" t="s">
        <v>3</v>
      </c>
      <c r="C20" s="280"/>
      <c r="D20" s="259" t="s">
        <v>242</v>
      </c>
      <c r="E20" s="415" t="s">
        <v>309</v>
      </c>
      <c r="F20" s="361">
        <v>4.166</v>
      </c>
      <c r="G20" s="501">
        <v>4.9</v>
      </c>
      <c r="H20" s="392">
        <v>0</v>
      </c>
      <c r="I20" s="366">
        <v>1.385</v>
      </c>
      <c r="J20" s="386">
        <f t="shared" si="1"/>
        <v>6.285</v>
      </c>
      <c r="K20" s="363">
        <v>1.796</v>
      </c>
      <c r="L20" s="388">
        <f t="shared" si="2"/>
        <v>1</v>
      </c>
      <c r="M20" s="169" t="s">
        <v>244</v>
      </c>
      <c r="N20" s="27"/>
      <c r="O20" s="81"/>
      <c r="AX20" s="323">
        <v>9</v>
      </c>
      <c r="AY20" s="324" t="s">
        <v>308</v>
      </c>
      <c r="AZ20" s="324" t="s">
        <v>306</v>
      </c>
      <c r="BA20" s="324" t="s">
        <v>309</v>
      </c>
      <c r="BB20" s="326">
        <v>4166</v>
      </c>
      <c r="BC20" s="332">
        <v>0</v>
      </c>
      <c r="BD20" s="332">
        <v>0</v>
      </c>
      <c r="BE20" s="337">
        <v>2.646</v>
      </c>
      <c r="BF20" s="328">
        <f t="shared" si="4"/>
        <v>2.646</v>
      </c>
      <c r="BG20" s="330">
        <v>4.158</v>
      </c>
      <c r="BH20" s="321">
        <f>BE20/BG20</f>
        <v>0.6363636363636362</v>
      </c>
      <c r="BI20" s="324" t="s">
        <v>310</v>
      </c>
    </row>
    <row r="21" spans="1:61" ht="22.5" customHeight="1">
      <c r="A21" s="402">
        <f t="shared" si="0"/>
        <v>10</v>
      </c>
      <c r="B21" s="279" t="s">
        <v>3</v>
      </c>
      <c r="C21" s="280"/>
      <c r="D21" s="259" t="s">
        <v>243</v>
      </c>
      <c r="E21" s="415" t="s">
        <v>345</v>
      </c>
      <c r="F21" s="361">
        <v>6.173</v>
      </c>
      <c r="G21" s="502">
        <v>9.114</v>
      </c>
      <c r="H21" s="365">
        <v>2.414</v>
      </c>
      <c r="I21" s="364">
        <v>0</v>
      </c>
      <c r="J21" s="386">
        <f t="shared" si="1"/>
        <v>11.528</v>
      </c>
      <c r="K21" s="363">
        <v>7.205</v>
      </c>
      <c r="L21" s="388">
        <f t="shared" si="2"/>
        <v>1</v>
      </c>
      <c r="M21" s="169" t="s">
        <v>244</v>
      </c>
      <c r="N21" s="27"/>
      <c r="O21" s="81"/>
      <c r="AX21" s="323">
        <v>10</v>
      </c>
      <c r="AY21" s="324" t="s">
        <v>311</v>
      </c>
      <c r="AZ21" s="324" t="s">
        <v>306</v>
      </c>
      <c r="BA21" s="324" t="s">
        <v>312</v>
      </c>
      <c r="BB21" s="326">
        <v>6305</v>
      </c>
      <c r="BC21" s="335">
        <v>2.429</v>
      </c>
      <c r="BD21" s="335">
        <v>4.672</v>
      </c>
      <c r="BE21" s="338">
        <v>0</v>
      </c>
      <c r="BF21" s="328">
        <f>BC21+BD21</f>
        <v>7.100999999999999</v>
      </c>
      <c r="BG21" s="330">
        <v>8.023</v>
      </c>
      <c r="BH21" s="321">
        <v>1</v>
      </c>
      <c r="BI21" s="324" t="s">
        <v>310</v>
      </c>
    </row>
    <row r="22" spans="1:61" ht="22.5" customHeight="1">
      <c r="A22" s="402">
        <f t="shared" si="0"/>
        <v>11</v>
      </c>
      <c r="B22" s="279" t="s">
        <v>246</v>
      </c>
      <c r="C22" s="280"/>
      <c r="D22" s="259" t="s">
        <v>247</v>
      </c>
      <c r="E22" s="415" t="s">
        <v>346</v>
      </c>
      <c r="F22" s="361">
        <v>7.439</v>
      </c>
      <c r="G22" s="503">
        <v>0</v>
      </c>
      <c r="H22" s="364">
        <v>0</v>
      </c>
      <c r="I22" s="362">
        <v>3.5</v>
      </c>
      <c r="J22" s="386">
        <f t="shared" si="1"/>
        <v>3.5</v>
      </c>
      <c r="K22" s="363">
        <v>3.5</v>
      </c>
      <c r="L22" s="388">
        <f>IF(K22=0,0,(IF(J22/K22&gt;1,1,J22/K22)))</f>
        <v>1</v>
      </c>
      <c r="M22" s="169"/>
      <c r="N22" s="27"/>
      <c r="O22" s="81"/>
      <c r="AX22" s="323">
        <v>11</v>
      </c>
      <c r="AY22" s="324" t="s">
        <v>313</v>
      </c>
      <c r="AZ22" s="324" t="s">
        <v>314</v>
      </c>
      <c r="BA22" s="324" t="s">
        <v>315</v>
      </c>
      <c r="BB22" s="326">
        <v>7439</v>
      </c>
      <c r="BC22" s="332">
        <v>0</v>
      </c>
      <c r="BD22" s="332">
        <v>0</v>
      </c>
      <c r="BE22" s="328">
        <v>4</v>
      </c>
      <c r="BF22" s="328">
        <f t="shared" si="4"/>
        <v>4</v>
      </c>
      <c r="BG22" s="330">
        <v>6.583</v>
      </c>
      <c r="BH22" s="321">
        <f>BE22/BG22</f>
        <v>0.6076257025672186</v>
      </c>
      <c r="BI22" s="324"/>
    </row>
    <row r="23" spans="1:61" ht="22.5" customHeight="1">
      <c r="A23" s="402">
        <f t="shared" si="0"/>
        <v>12</v>
      </c>
      <c r="B23" s="279" t="s">
        <v>246</v>
      </c>
      <c r="C23" s="280"/>
      <c r="D23" s="259" t="s">
        <v>261</v>
      </c>
      <c r="E23" s="414" t="s">
        <v>317</v>
      </c>
      <c r="F23" s="360">
        <v>6632</v>
      </c>
      <c r="G23" s="503">
        <v>0</v>
      </c>
      <c r="H23" s="392"/>
      <c r="I23" s="362">
        <v>3.036</v>
      </c>
      <c r="J23" s="386">
        <f t="shared" si="1"/>
        <v>3.036</v>
      </c>
      <c r="K23" s="363">
        <v>3.345</v>
      </c>
      <c r="L23" s="388">
        <f t="shared" si="2"/>
        <v>0.9076233183856501</v>
      </c>
      <c r="M23" s="169"/>
      <c r="N23" s="27"/>
      <c r="O23" s="81"/>
      <c r="AX23" s="323">
        <v>12</v>
      </c>
      <c r="AY23" s="324" t="s">
        <v>316</v>
      </c>
      <c r="AZ23" s="324" t="s">
        <v>314</v>
      </c>
      <c r="BA23" s="324" t="s">
        <v>317</v>
      </c>
      <c r="BB23" s="326">
        <v>6632</v>
      </c>
      <c r="BC23" s="332">
        <v>0</v>
      </c>
      <c r="BD23" s="332" t="s">
        <v>2</v>
      </c>
      <c r="BE23" s="328">
        <v>3.35</v>
      </c>
      <c r="BF23" s="328">
        <f>BE23</f>
        <v>3.35</v>
      </c>
      <c r="BG23" s="330">
        <v>5.75</v>
      </c>
      <c r="BH23" s="321">
        <f>BE23/BG23</f>
        <v>0.5826086956521739</v>
      </c>
      <c r="BI23" s="324" t="s">
        <v>310</v>
      </c>
    </row>
    <row r="24" spans="1:61" ht="22.5" customHeight="1" thickBot="1">
      <c r="A24" s="402">
        <f t="shared" si="0"/>
        <v>13</v>
      </c>
      <c r="B24" s="279" t="s">
        <v>246</v>
      </c>
      <c r="C24" s="280"/>
      <c r="D24" s="259" t="s">
        <v>248</v>
      </c>
      <c r="E24" s="414" t="s">
        <v>319</v>
      </c>
      <c r="F24" s="360">
        <v>7632</v>
      </c>
      <c r="G24" s="500">
        <v>1.466</v>
      </c>
      <c r="H24" s="364">
        <v>0</v>
      </c>
      <c r="I24" s="362">
        <v>3.718</v>
      </c>
      <c r="J24" s="386">
        <f t="shared" si="1"/>
        <v>5.184</v>
      </c>
      <c r="K24" s="363">
        <v>3.718</v>
      </c>
      <c r="L24" s="388">
        <f t="shared" si="2"/>
        <v>1</v>
      </c>
      <c r="M24" s="169" t="s">
        <v>249</v>
      </c>
      <c r="N24" s="27"/>
      <c r="O24" s="81"/>
      <c r="AX24" s="323">
        <v>13</v>
      </c>
      <c r="AY24" s="324" t="s">
        <v>318</v>
      </c>
      <c r="AZ24" s="324" t="s">
        <v>314</v>
      </c>
      <c r="BA24" s="324" t="s">
        <v>319</v>
      </c>
      <c r="BB24" s="326">
        <v>7634</v>
      </c>
      <c r="BC24" s="339">
        <v>1.466</v>
      </c>
      <c r="BD24" s="332">
        <v>0</v>
      </c>
      <c r="BE24" s="328">
        <v>5.734</v>
      </c>
      <c r="BF24" s="328">
        <f t="shared" si="4"/>
        <v>7.2</v>
      </c>
      <c r="BG24" s="330">
        <v>6.404</v>
      </c>
      <c r="BH24" s="321">
        <v>1</v>
      </c>
      <c r="BI24" s="331"/>
    </row>
    <row r="25" spans="1:61" ht="22.5" customHeight="1" thickBot="1">
      <c r="A25" s="402">
        <f t="shared" si="0"/>
        <v>14</v>
      </c>
      <c r="B25" s="279" t="s">
        <v>246</v>
      </c>
      <c r="C25" s="280"/>
      <c r="D25" s="259" t="s">
        <v>258</v>
      </c>
      <c r="E25" s="414" t="s">
        <v>321</v>
      </c>
      <c r="F25" s="360">
        <v>3881</v>
      </c>
      <c r="G25" s="500">
        <v>0</v>
      </c>
      <c r="H25" s="362">
        <v>0.712</v>
      </c>
      <c r="I25" s="362">
        <v>0</v>
      </c>
      <c r="J25" s="386">
        <f t="shared" si="1"/>
        <v>0.712</v>
      </c>
      <c r="K25" s="363">
        <v>0.712</v>
      </c>
      <c r="L25" s="388">
        <f t="shared" si="2"/>
        <v>1</v>
      </c>
      <c r="M25" s="169"/>
      <c r="N25" s="27"/>
      <c r="O25" s="81"/>
      <c r="AX25" s="340">
        <v>14</v>
      </c>
      <c r="AY25" s="341" t="s">
        <v>320</v>
      </c>
      <c r="AZ25" s="341" t="s">
        <v>314</v>
      </c>
      <c r="BA25" s="341" t="s">
        <v>321</v>
      </c>
      <c r="BB25" s="342">
        <v>3940</v>
      </c>
      <c r="BC25" s="339">
        <v>1.296</v>
      </c>
      <c r="BD25" s="343">
        <v>1.405</v>
      </c>
      <c r="BE25" s="344">
        <v>0</v>
      </c>
      <c r="BF25" s="343">
        <f t="shared" si="4"/>
        <v>2.701</v>
      </c>
      <c r="BG25" s="345">
        <f>BD25</f>
        <v>1.405</v>
      </c>
      <c r="BH25" s="346">
        <f>BD25/BG25</f>
        <v>1</v>
      </c>
      <c r="BI25" s="347"/>
    </row>
    <row r="26" spans="1:15" ht="22.5" customHeight="1">
      <c r="A26" s="403">
        <f t="shared" si="0"/>
        <v>15</v>
      </c>
      <c r="B26" s="7" t="s">
        <v>9</v>
      </c>
      <c r="C26" s="280"/>
      <c r="D26" s="5" t="s">
        <v>85</v>
      </c>
      <c r="E26" s="412" t="s">
        <v>347</v>
      </c>
      <c r="F26" s="359">
        <v>1176</v>
      </c>
      <c r="G26" s="493">
        <v>8.191</v>
      </c>
      <c r="H26" s="53">
        <v>0.837</v>
      </c>
      <c r="I26" s="53">
        <v>0.522</v>
      </c>
      <c r="J26" s="386">
        <f t="shared" si="1"/>
        <v>9.55</v>
      </c>
      <c r="K26" s="363">
        <v>1.359</v>
      </c>
      <c r="L26" s="388">
        <f t="shared" si="2"/>
        <v>1</v>
      </c>
      <c r="M26" s="168"/>
      <c r="N26" s="27"/>
      <c r="O26" s="81">
        <f t="shared" si="3"/>
        <v>7.027225901398087</v>
      </c>
    </row>
    <row r="27" spans="1:59" ht="22.5" customHeight="1">
      <c r="A27" s="403">
        <f t="shared" si="0"/>
        <v>16</v>
      </c>
      <c r="B27" s="7" t="s">
        <v>245</v>
      </c>
      <c r="C27" s="52"/>
      <c r="D27" s="5" t="s">
        <v>68</v>
      </c>
      <c r="E27" s="412" t="s">
        <v>289</v>
      </c>
      <c r="F27" s="359">
        <v>238</v>
      </c>
      <c r="G27" s="493">
        <v>8.284</v>
      </c>
      <c r="H27" s="53">
        <v>0</v>
      </c>
      <c r="I27" s="53">
        <v>0.45</v>
      </c>
      <c r="J27" s="386">
        <f t="shared" si="1"/>
        <v>8.734</v>
      </c>
      <c r="K27" s="363">
        <v>0.45</v>
      </c>
      <c r="L27" s="388">
        <f t="shared" si="2"/>
        <v>1</v>
      </c>
      <c r="M27" s="168"/>
      <c r="N27" s="27"/>
      <c r="O27" s="81">
        <f t="shared" si="3"/>
        <v>19.40888888888889</v>
      </c>
      <c r="BB27" s="348"/>
      <c r="BC27" s="349"/>
      <c r="BD27" s="349"/>
      <c r="BE27" s="575" t="s">
        <v>322</v>
      </c>
      <c r="BF27" s="575"/>
      <c r="BG27" s="575"/>
    </row>
    <row r="28" spans="1:60" ht="22.5" customHeight="1">
      <c r="A28" s="403">
        <f t="shared" si="0"/>
        <v>17</v>
      </c>
      <c r="B28" s="7" t="s">
        <v>8</v>
      </c>
      <c r="C28" s="52"/>
      <c r="D28" s="10" t="s">
        <v>86</v>
      </c>
      <c r="E28" s="416" t="s">
        <v>348</v>
      </c>
      <c r="F28" s="358">
        <v>1330</v>
      </c>
      <c r="G28" s="493">
        <v>0.863</v>
      </c>
      <c r="H28" s="53">
        <v>1.22</v>
      </c>
      <c r="I28" s="53">
        <v>0</v>
      </c>
      <c r="J28" s="386">
        <f>G28+H28+I28</f>
        <v>2.083</v>
      </c>
      <c r="K28" s="363">
        <v>1.22</v>
      </c>
      <c r="L28" s="388">
        <f t="shared" si="2"/>
        <v>1</v>
      </c>
      <c r="M28" s="168"/>
      <c r="N28" s="27"/>
      <c r="O28" s="81">
        <f t="shared" si="3"/>
        <v>1.707377049180328</v>
      </c>
      <c r="BA28" s="176"/>
      <c r="BB28" s="350"/>
      <c r="BF28" s="351"/>
      <c r="BG28" s="351"/>
      <c r="BH28" s="349"/>
    </row>
    <row r="29" spans="1:58" ht="22.5" customHeight="1">
      <c r="A29" s="403">
        <f t="shared" si="0"/>
        <v>18</v>
      </c>
      <c r="B29" s="7" t="s">
        <v>8</v>
      </c>
      <c r="C29" s="52"/>
      <c r="D29" s="10" t="s">
        <v>175</v>
      </c>
      <c r="E29" s="417" t="s">
        <v>349</v>
      </c>
      <c r="F29" s="367">
        <v>2.388</v>
      </c>
      <c r="G29" s="493">
        <v>0</v>
      </c>
      <c r="H29" s="53">
        <v>0</v>
      </c>
      <c r="I29" s="53">
        <v>2.919</v>
      </c>
      <c r="J29" s="386">
        <f t="shared" si="1"/>
        <v>2.919</v>
      </c>
      <c r="K29" s="363">
        <v>2.919</v>
      </c>
      <c r="L29" s="388">
        <f>IF(K29=0,0,(IF(J29/K29&gt;1,1,J29/K29)))</f>
        <v>1</v>
      </c>
      <c r="M29" s="168"/>
      <c r="N29" s="27"/>
      <c r="O29" s="81">
        <f t="shared" si="3"/>
        <v>1</v>
      </c>
      <c r="AX29" s="349"/>
      <c r="AZ29" s="349"/>
      <c r="BB29" s="349"/>
      <c r="BC29" s="349"/>
      <c r="BD29" s="349"/>
      <c r="BF29" s="349" t="s">
        <v>323</v>
      </c>
    </row>
    <row r="30" spans="1:60" ht="22.5" customHeight="1">
      <c r="A30" s="403">
        <f t="shared" si="0"/>
        <v>19</v>
      </c>
      <c r="B30" s="7" t="s">
        <v>8</v>
      </c>
      <c r="C30" s="52"/>
      <c r="D30" s="10" t="s">
        <v>174</v>
      </c>
      <c r="E30" s="417" t="s">
        <v>350</v>
      </c>
      <c r="F30" s="367">
        <v>1.521</v>
      </c>
      <c r="G30" s="493">
        <v>0</v>
      </c>
      <c r="H30" s="53">
        <v>0</v>
      </c>
      <c r="I30" s="53">
        <v>1.404</v>
      </c>
      <c r="J30" s="386">
        <f t="shared" si="1"/>
        <v>1.404</v>
      </c>
      <c r="K30" s="363">
        <v>1.404</v>
      </c>
      <c r="L30" s="388">
        <f t="shared" si="2"/>
        <v>1</v>
      </c>
      <c r="M30" s="168"/>
      <c r="N30" s="27"/>
      <c r="O30" s="81">
        <f t="shared" si="3"/>
        <v>1</v>
      </c>
      <c r="AX30" s="352"/>
      <c r="AZ30" s="349"/>
      <c r="BB30" s="349"/>
      <c r="BD30" s="353"/>
      <c r="BF30" s="349" t="s">
        <v>324</v>
      </c>
      <c r="BH30" s="353"/>
    </row>
    <row r="31" spans="1:60" ht="22.5" customHeight="1">
      <c r="A31" s="403">
        <f t="shared" si="0"/>
        <v>20</v>
      </c>
      <c r="B31" s="9" t="s">
        <v>7</v>
      </c>
      <c r="C31" s="52"/>
      <c r="D31" s="10" t="s">
        <v>202</v>
      </c>
      <c r="E31" s="416" t="s">
        <v>342</v>
      </c>
      <c r="F31" s="358">
        <v>2049</v>
      </c>
      <c r="G31" s="493">
        <v>0.7436</v>
      </c>
      <c r="H31" s="53">
        <v>0.05</v>
      </c>
      <c r="I31" s="53">
        <v>7.842</v>
      </c>
      <c r="J31" s="386">
        <v>8.635</v>
      </c>
      <c r="K31" s="363">
        <v>7.892</v>
      </c>
      <c r="L31" s="388">
        <f t="shared" si="2"/>
        <v>1</v>
      </c>
      <c r="M31" s="168"/>
      <c r="N31" s="27"/>
      <c r="O31" s="81">
        <f t="shared" si="3"/>
        <v>1.0941459706031424</v>
      </c>
      <c r="AX31" s="352"/>
      <c r="AZ31" s="349"/>
      <c r="BC31" s="354">
        <v>3600</v>
      </c>
      <c r="BD31" s="353"/>
      <c r="BF31" s="349" t="s">
        <v>325</v>
      </c>
      <c r="BH31" s="355"/>
    </row>
    <row r="32" spans="1:60" ht="22.5" customHeight="1">
      <c r="A32" s="403">
        <f t="shared" si="0"/>
        <v>21</v>
      </c>
      <c r="B32" s="9" t="s">
        <v>7</v>
      </c>
      <c r="C32" s="52"/>
      <c r="D32" s="5" t="s">
        <v>69</v>
      </c>
      <c r="E32" s="412" t="s">
        <v>344</v>
      </c>
      <c r="F32" s="359">
        <v>415</v>
      </c>
      <c r="G32" s="504">
        <v>6.278</v>
      </c>
      <c r="H32" s="53">
        <v>0</v>
      </c>
      <c r="I32" s="53">
        <v>1.799</v>
      </c>
      <c r="J32" s="386">
        <f t="shared" si="1"/>
        <v>8.077</v>
      </c>
      <c r="K32" s="363">
        <v>1.799</v>
      </c>
      <c r="L32" s="388">
        <f t="shared" si="2"/>
        <v>1</v>
      </c>
      <c r="M32" s="168"/>
      <c r="N32" s="27"/>
      <c r="O32" s="81"/>
      <c r="BA32" s="176"/>
      <c r="BC32" s="354">
        <v>3600</v>
      </c>
      <c r="BD32" s="353"/>
      <c r="BG32" s="176"/>
      <c r="BH32" s="355"/>
    </row>
    <row r="33" spans="1:60" ht="22.5" customHeight="1">
      <c r="A33" s="403">
        <f t="shared" si="0"/>
        <v>22</v>
      </c>
      <c r="B33" s="9" t="s">
        <v>208</v>
      </c>
      <c r="C33" s="52"/>
      <c r="D33" s="5" t="s">
        <v>203</v>
      </c>
      <c r="E33" s="412" t="s">
        <v>317</v>
      </c>
      <c r="F33" s="359">
        <v>1870</v>
      </c>
      <c r="G33" s="493">
        <v>12.069</v>
      </c>
      <c r="H33" s="53">
        <v>1.011</v>
      </c>
      <c r="I33" s="53">
        <v>0.884</v>
      </c>
      <c r="J33" s="386">
        <f t="shared" si="1"/>
        <v>13.964</v>
      </c>
      <c r="K33" s="363">
        <v>1.895</v>
      </c>
      <c r="L33" s="388">
        <f t="shared" si="2"/>
        <v>1</v>
      </c>
      <c r="M33" s="168"/>
      <c r="N33" s="27"/>
      <c r="O33" s="81"/>
      <c r="BA33" s="176"/>
      <c r="BC33" s="354">
        <v>3600</v>
      </c>
      <c r="BG33" s="176"/>
      <c r="BH33" s="355"/>
    </row>
    <row r="34" spans="1:60" ht="22.5" customHeight="1">
      <c r="A34" s="403">
        <f t="shared" si="0"/>
        <v>23</v>
      </c>
      <c r="B34" s="9" t="s">
        <v>208</v>
      </c>
      <c r="C34" s="52"/>
      <c r="D34" s="5" t="s">
        <v>204</v>
      </c>
      <c r="E34" s="412" t="s">
        <v>351</v>
      </c>
      <c r="F34" s="359">
        <v>600</v>
      </c>
      <c r="G34" s="493">
        <v>3.998</v>
      </c>
      <c r="H34" s="53">
        <v>0</v>
      </c>
      <c r="I34" s="53">
        <v>0.391</v>
      </c>
      <c r="J34" s="386">
        <f t="shared" si="1"/>
        <v>4.389</v>
      </c>
      <c r="K34" s="363">
        <v>0.391</v>
      </c>
      <c r="L34" s="388">
        <f>IF(K34=0,0,(IF(J34/K34&gt;1,1,J34/K34)))</f>
        <v>1</v>
      </c>
      <c r="M34" s="168"/>
      <c r="N34" s="27"/>
      <c r="O34" s="81"/>
      <c r="AY34" s="356"/>
      <c r="BA34" s="176"/>
      <c r="BC34" s="354">
        <v>3600</v>
      </c>
      <c r="BE34" s="356"/>
      <c r="BG34" s="176"/>
      <c r="BH34" s="352"/>
    </row>
    <row r="35" spans="1:60" ht="22.5" customHeight="1">
      <c r="A35" s="403">
        <f t="shared" si="0"/>
        <v>24</v>
      </c>
      <c r="B35" s="9" t="s">
        <v>210</v>
      </c>
      <c r="C35" s="52"/>
      <c r="D35" s="5" t="s">
        <v>217</v>
      </c>
      <c r="E35" s="412" t="s">
        <v>352</v>
      </c>
      <c r="F35" s="359">
        <v>749</v>
      </c>
      <c r="G35" s="493">
        <v>3.605</v>
      </c>
      <c r="H35" s="53">
        <v>0.631</v>
      </c>
      <c r="I35" s="53">
        <v>0</v>
      </c>
      <c r="J35" s="386">
        <f t="shared" si="1"/>
        <v>4.236</v>
      </c>
      <c r="K35" s="363">
        <v>0.631</v>
      </c>
      <c r="L35" s="388">
        <f t="shared" si="2"/>
        <v>1</v>
      </c>
      <c r="M35" s="168"/>
      <c r="N35" s="27"/>
      <c r="O35" s="81"/>
      <c r="AX35" s="357"/>
      <c r="AZ35" s="356"/>
      <c r="BB35" s="349"/>
      <c r="BC35" s="354">
        <v>3400</v>
      </c>
      <c r="BD35" s="576" t="s">
        <v>326</v>
      </c>
      <c r="BE35" s="576"/>
      <c r="BF35" s="576"/>
      <c r="BG35" s="576"/>
      <c r="BH35" s="576"/>
    </row>
    <row r="36" spans="1:60" ht="22.5" customHeight="1">
      <c r="A36" s="403">
        <f t="shared" si="0"/>
        <v>25</v>
      </c>
      <c r="B36" s="9" t="s">
        <v>209</v>
      </c>
      <c r="C36" s="52"/>
      <c r="D36" s="5" t="s">
        <v>234</v>
      </c>
      <c r="E36" s="418" t="s">
        <v>353</v>
      </c>
      <c r="F36" s="368">
        <v>1.704</v>
      </c>
      <c r="G36" s="493">
        <v>0</v>
      </c>
      <c r="H36" s="53">
        <v>0.916</v>
      </c>
      <c r="I36" s="53">
        <v>0.92</v>
      </c>
      <c r="J36" s="386">
        <f t="shared" si="1"/>
        <v>1.836</v>
      </c>
      <c r="K36" s="363">
        <v>0.916</v>
      </c>
      <c r="L36" s="388">
        <f t="shared" si="2"/>
        <v>1</v>
      </c>
      <c r="M36" s="168"/>
      <c r="N36" s="27"/>
      <c r="O36" s="81"/>
      <c r="AX36" s="352"/>
      <c r="AY36" s="575"/>
      <c r="AZ36" s="575"/>
      <c r="BA36" s="575"/>
      <c r="BB36" s="349"/>
      <c r="BC36" s="354">
        <v>3650</v>
      </c>
      <c r="BD36" s="575" t="s">
        <v>327</v>
      </c>
      <c r="BE36" s="575"/>
      <c r="BF36" s="575"/>
      <c r="BG36" s="575"/>
      <c r="BH36" s="575"/>
    </row>
    <row r="37" spans="1:55" ht="22.5" customHeight="1">
      <c r="A37" s="403">
        <f t="shared" si="0"/>
        <v>26</v>
      </c>
      <c r="B37" s="9" t="s">
        <v>209</v>
      </c>
      <c r="C37" s="52"/>
      <c r="D37" s="5" t="s">
        <v>205</v>
      </c>
      <c r="E37" s="412" t="s">
        <v>354</v>
      </c>
      <c r="F37" s="359">
        <v>824</v>
      </c>
      <c r="G37" s="505">
        <v>0</v>
      </c>
      <c r="H37" s="53">
        <v>0.292</v>
      </c>
      <c r="I37" s="53">
        <v>0</v>
      </c>
      <c r="J37" s="386">
        <f t="shared" si="1"/>
        <v>0.292</v>
      </c>
      <c r="K37" s="363">
        <v>0.292</v>
      </c>
      <c r="L37" s="388">
        <f t="shared" si="2"/>
        <v>1</v>
      </c>
      <c r="M37" s="168"/>
      <c r="N37" s="27"/>
      <c r="O37" s="81"/>
      <c r="BC37" s="354">
        <v>3800</v>
      </c>
    </row>
    <row r="38" spans="1:15" ht="22.5" customHeight="1">
      <c r="A38" s="403">
        <f t="shared" si="0"/>
        <v>27</v>
      </c>
      <c r="B38" s="9" t="s">
        <v>209</v>
      </c>
      <c r="C38" s="52"/>
      <c r="D38" s="5" t="s">
        <v>206</v>
      </c>
      <c r="E38" s="412" t="s">
        <v>355</v>
      </c>
      <c r="F38" s="359">
        <v>290</v>
      </c>
      <c r="G38" s="493">
        <v>0</v>
      </c>
      <c r="H38" s="47">
        <v>0.166</v>
      </c>
      <c r="I38" s="53">
        <v>0</v>
      </c>
      <c r="J38" s="386">
        <f t="shared" si="1"/>
        <v>0.166</v>
      </c>
      <c r="K38" s="363">
        <v>0.166</v>
      </c>
      <c r="L38" s="388">
        <f t="shared" si="2"/>
        <v>1</v>
      </c>
      <c r="M38" s="168"/>
      <c r="N38" s="27"/>
      <c r="O38" s="81"/>
    </row>
    <row r="39" spans="1:15" ht="22.5" customHeight="1">
      <c r="A39" s="403">
        <f t="shared" si="0"/>
        <v>28</v>
      </c>
      <c r="B39" s="9" t="s">
        <v>209</v>
      </c>
      <c r="C39" s="52"/>
      <c r="D39" s="5" t="s">
        <v>31</v>
      </c>
      <c r="E39" s="412" t="s">
        <v>356</v>
      </c>
      <c r="F39" s="359">
        <v>210</v>
      </c>
      <c r="G39" s="493">
        <v>0.194</v>
      </c>
      <c r="H39" s="53">
        <v>0.042</v>
      </c>
      <c r="I39" s="53">
        <v>0</v>
      </c>
      <c r="J39" s="386">
        <f t="shared" si="1"/>
        <v>0.23600000000000002</v>
      </c>
      <c r="K39" s="363">
        <v>0.137</v>
      </c>
      <c r="L39" s="388">
        <f t="shared" si="2"/>
        <v>1</v>
      </c>
      <c r="M39" s="168"/>
      <c r="N39" s="27"/>
      <c r="O39" s="81"/>
    </row>
    <row r="40" spans="1:15" ht="22.5" customHeight="1">
      <c r="A40" s="403">
        <f t="shared" si="0"/>
        <v>29</v>
      </c>
      <c r="B40" s="9" t="s">
        <v>211</v>
      </c>
      <c r="C40" s="52"/>
      <c r="D40" s="5" t="s">
        <v>212</v>
      </c>
      <c r="E40" s="412" t="s">
        <v>357</v>
      </c>
      <c r="F40" s="359">
        <v>236</v>
      </c>
      <c r="G40" s="493">
        <v>0.87</v>
      </c>
      <c r="H40" s="53">
        <v>0.243</v>
      </c>
      <c r="I40" s="53">
        <v>0</v>
      </c>
      <c r="J40" s="386">
        <f t="shared" si="1"/>
        <v>1.113</v>
      </c>
      <c r="K40" s="362">
        <v>0.28</v>
      </c>
      <c r="L40" s="388">
        <f t="shared" si="2"/>
        <v>1</v>
      </c>
      <c r="M40" s="168"/>
      <c r="N40" s="27"/>
      <c r="O40" s="81"/>
    </row>
    <row r="41" spans="1:15" ht="22.5" customHeight="1" thickBot="1">
      <c r="A41" s="404">
        <f t="shared" si="0"/>
        <v>30</v>
      </c>
      <c r="B41" s="9" t="s">
        <v>213</v>
      </c>
      <c r="C41" s="52"/>
      <c r="D41" s="5" t="s">
        <v>214</v>
      </c>
      <c r="E41" s="419" t="s">
        <v>358</v>
      </c>
      <c r="F41" s="374">
        <v>1.026</v>
      </c>
      <c r="G41" s="506">
        <v>0</v>
      </c>
      <c r="H41" s="77">
        <v>0</v>
      </c>
      <c r="I41" s="77">
        <v>0.365</v>
      </c>
      <c r="J41" s="386">
        <f t="shared" si="1"/>
        <v>0.365</v>
      </c>
      <c r="K41" s="363">
        <v>0.45</v>
      </c>
      <c r="L41" s="441">
        <f>IF(K41=0,0,(IF(J41/K41&gt;1,1,J41/K41)))</f>
        <v>0.8111111111111111</v>
      </c>
      <c r="M41" s="168"/>
      <c r="N41" s="27"/>
      <c r="O41" s="81"/>
    </row>
    <row r="42" spans="1:15" ht="22.5" customHeight="1" thickBot="1">
      <c r="A42" s="60"/>
      <c r="B42" s="587" t="s">
        <v>133</v>
      </c>
      <c r="C42" s="588"/>
      <c r="D42" s="588"/>
      <c r="E42" s="420"/>
      <c r="F42" s="377">
        <f aca="true" t="shared" si="5" ref="F42:K42">SUM(F12:F41)</f>
        <v>55144.16499999999</v>
      </c>
      <c r="G42" s="378">
        <f t="shared" si="5"/>
        <v>105.08360000000002</v>
      </c>
      <c r="H42" s="378">
        <f t="shared" si="5"/>
        <v>25.805000000000003</v>
      </c>
      <c r="I42" s="378">
        <f t="shared" si="5"/>
        <v>52.254</v>
      </c>
      <c r="J42" s="448">
        <f>G42+H42+I42</f>
        <v>183.14260000000002</v>
      </c>
      <c r="K42" s="440">
        <f t="shared" si="5"/>
        <v>87.50359999999999</v>
      </c>
      <c r="L42" s="442">
        <f t="shared" si="2"/>
        <v>1</v>
      </c>
      <c r="M42" s="169"/>
      <c r="N42" s="27"/>
      <c r="O42" s="81">
        <f t="shared" si="3"/>
        <v>2.0929721748590917</v>
      </c>
    </row>
    <row r="43" spans="1:15" ht="22.5" customHeight="1" thickBot="1" thickTop="1">
      <c r="A43" s="31" t="s">
        <v>75</v>
      </c>
      <c r="B43" s="592" t="s">
        <v>76</v>
      </c>
      <c r="C43" s="593"/>
      <c r="D43" s="593"/>
      <c r="E43" s="421"/>
      <c r="F43" s="375"/>
      <c r="G43" s="585"/>
      <c r="H43" s="586"/>
      <c r="I43" s="586"/>
      <c r="J43" s="586"/>
      <c r="K43" s="586"/>
      <c r="L43" s="376"/>
      <c r="M43" s="169"/>
      <c r="N43" s="27"/>
      <c r="O43" s="81" t="e">
        <f t="shared" si="3"/>
        <v>#DIV/0!</v>
      </c>
    </row>
    <row r="44" spans="1:15" ht="22.5" customHeight="1" thickTop="1">
      <c r="A44" s="38">
        <v>1</v>
      </c>
      <c r="B44" s="23" t="s">
        <v>9</v>
      </c>
      <c r="C44" s="16">
        <v>1</v>
      </c>
      <c r="D44" s="385" t="s">
        <v>87</v>
      </c>
      <c r="E44" s="422" t="s">
        <v>359</v>
      </c>
      <c r="F44" s="370">
        <v>4353</v>
      </c>
      <c r="G44" s="493">
        <v>18.939</v>
      </c>
      <c r="H44" s="53">
        <v>4.372</v>
      </c>
      <c r="I44" s="53">
        <v>2.169</v>
      </c>
      <c r="J44" s="53">
        <f>+I44+H44+G44</f>
        <v>25.48</v>
      </c>
      <c r="K44" s="267">
        <f aca="true" t="shared" si="6" ref="K44:K53">H44+I44</f>
        <v>6.541</v>
      </c>
      <c r="L44" s="444">
        <f>IF(K44=0,0,(IF(J44/K44&gt;1,1,J44/K44)))</f>
        <v>1</v>
      </c>
      <c r="M44" s="104"/>
      <c r="N44" s="88">
        <f>SUM(L44:L54)/18</f>
        <v>0.6111111111111112</v>
      </c>
      <c r="O44" s="81">
        <f t="shared" si="3"/>
        <v>3.895428833511695</v>
      </c>
    </row>
    <row r="45" spans="1:15" ht="22.5" customHeight="1">
      <c r="A45" s="30">
        <f>+A44+1</f>
        <v>2</v>
      </c>
      <c r="B45" s="5" t="s">
        <v>10</v>
      </c>
      <c r="C45" s="8">
        <f>+C44+1</f>
        <v>2</v>
      </c>
      <c r="D45" s="121" t="s">
        <v>11</v>
      </c>
      <c r="E45" s="423" t="s">
        <v>360</v>
      </c>
      <c r="F45" s="258">
        <v>8861</v>
      </c>
      <c r="G45" s="493">
        <v>7.674</v>
      </c>
      <c r="H45" s="53">
        <v>3.028</v>
      </c>
      <c r="I45" s="53">
        <v>5.377</v>
      </c>
      <c r="J45" s="53">
        <f aca="true" t="shared" si="7" ref="J45:J54">+I45+H45+G45</f>
        <v>16.079</v>
      </c>
      <c r="K45" s="267">
        <f t="shared" si="6"/>
        <v>8.405</v>
      </c>
      <c r="L45" s="443">
        <f>IF(K45=0,0,(IF(J45/K45&gt;1,1,J45/K45)))</f>
        <v>1</v>
      </c>
      <c r="M45" s="104"/>
      <c r="N45" s="122"/>
      <c r="O45" s="81">
        <f t="shared" si="3"/>
        <v>1.9130279595478883</v>
      </c>
    </row>
    <row r="46" spans="1:15" ht="22.5" customHeight="1">
      <c r="A46" s="30"/>
      <c r="B46" s="5"/>
      <c r="C46" s="8">
        <f aca="true" t="shared" si="8" ref="C46:C54">+C45+1</f>
        <v>3</v>
      </c>
      <c r="D46" s="5" t="s">
        <v>88</v>
      </c>
      <c r="E46" s="423" t="s">
        <v>361</v>
      </c>
      <c r="F46" s="258">
        <v>1108</v>
      </c>
      <c r="G46" s="493">
        <v>2.982</v>
      </c>
      <c r="H46" s="53">
        <v>0.462</v>
      </c>
      <c r="I46" s="53">
        <v>0.25</v>
      </c>
      <c r="J46" s="53">
        <f t="shared" si="7"/>
        <v>3.694</v>
      </c>
      <c r="K46" s="267">
        <v>0.712</v>
      </c>
      <c r="L46" s="443">
        <f aca="true" t="shared" si="9" ref="L46:L54">IF(K46=0,0,(IF(J46/K46&gt;1,1,J46/K46)))</f>
        <v>1</v>
      </c>
      <c r="M46" s="264"/>
      <c r="N46" s="27"/>
      <c r="O46" s="81">
        <f t="shared" si="3"/>
        <v>5.188202247191011</v>
      </c>
    </row>
    <row r="47" spans="1:15" ht="22.5" customHeight="1">
      <c r="A47" s="30"/>
      <c r="B47" s="5"/>
      <c r="C47" s="8">
        <f t="shared" si="8"/>
        <v>4</v>
      </c>
      <c r="D47" s="5" t="s">
        <v>89</v>
      </c>
      <c r="E47" s="423" t="s">
        <v>362</v>
      </c>
      <c r="F47" s="258">
        <v>2577</v>
      </c>
      <c r="G47" s="493">
        <v>2.686</v>
      </c>
      <c r="H47" s="53">
        <v>2.693</v>
      </c>
      <c r="I47" s="53">
        <v>0.98</v>
      </c>
      <c r="J47" s="53">
        <v>10.225</v>
      </c>
      <c r="K47" s="267">
        <f t="shared" si="6"/>
        <v>3.673</v>
      </c>
      <c r="L47" s="443">
        <f t="shared" si="9"/>
        <v>1</v>
      </c>
      <c r="M47" s="104">
        <f>+H47+I47</f>
        <v>3.673</v>
      </c>
      <c r="N47" s="27"/>
      <c r="O47" s="81">
        <f t="shared" si="3"/>
        <v>2.7838279335692895</v>
      </c>
    </row>
    <row r="48" spans="1:15" ht="22.5" customHeight="1">
      <c r="A48" s="30">
        <v>3</v>
      </c>
      <c r="B48" s="5" t="s">
        <v>90</v>
      </c>
      <c r="C48" s="8">
        <f t="shared" si="8"/>
        <v>5</v>
      </c>
      <c r="D48" s="5" t="s">
        <v>147</v>
      </c>
      <c r="E48" s="423" t="s">
        <v>363</v>
      </c>
      <c r="F48" s="258">
        <v>464</v>
      </c>
      <c r="G48" s="493">
        <v>0.34</v>
      </c>
      <c r="H48" s="53">
        <v>0</v>
      </c>
      <c r="I48" s="53">
        <v>0.37</v>
      </c>
      <c r="J48" s="53">
        <v>8.92</v>
      </c>
      <c r="K48" s="267">
        <f t="shared" si="6"/>
        <v>0.37</v>
      </c>
      <c r="L48" s="443">
        <f t="shared" si="9"/>
        <v>1</v>
      </c>
      <c r="M48" s="169"/>
      <c r="N48" s="27"/>
      <c r="O48" s="81">
        <f t="shared" si="3"/>
        <v>24.10810810810811</v>
      </c>
    </row>
    <row r="49" spans="1:15" ht="22.5" customHeight="1">
      <c r="A49" s="30"/>
      <c r="B49" s="5"/>
      <c r="C49" s="8">
        <f t="shared" si="8"/>
        <v>6</v>
      </c>
      <c r="D49" s="5" t="s">
        <v>91</v>
      </c>
      <c r="E49" s="423" t="s">
        <v>364</v>
      </c>
      <c r="F49" s="258">
        <v>1325</v>
      </c>
      <c r="G49" s="493">
        <v>0.164</v>
      </c>
      <c r="H49" s="119">
        <v>6.269</v>
      </c>
      <c r="I49" s="119">
        <v>0.76</v>
      </c>
      <c r="J49" s="53">
        <f t="shared" si="7"/>
        <v>7.193</v>
      </c>
      <c r="K49" s="267">
        <v>7.029</v>
      </c>
      <c r="L49" s="443">
        <f t="shared" si="9"/>
        <v>1</v>
      </c>
      <c r="M49" s="124">
        <f>+I49+H49</f>
        <v>7.029</v>
      </c>
      <c r="N49" s="268">
        <f>+K49-M49</f>
        <v>0</v>
      </c>
      <c r="O49" s="81">
        <f t="shared" si="3"/>
        <v>1.0233319106558543</v>
      </c>
    </row>
    <row r="50" spans="1:15" ht="22.5" customHeight="1">
      <c r="A50" s="30">
        <f>+A48+1</f>
        <v>4</v>
      </c>
      <c r="B50" s="5" t="s">
        <v>18</v>
      </c>
      <c r="C50" s="8">
        <f t="shared" si="8"/>
        <v>7</v>
      </c>
      <c r="D50" s="121" t="s">
        <v>92</v>
      </c>
      <c r="E50" s="423" t="s">
        <v>365</v>
      </c>
      <c r="F50" s="258">
        <v>4053</v>
      </c>
      <c r="G50" s="493">
        <v>1.795</v>
      </c>
      <c r="H50" s="119">
        <v>0</v>
      </c>
      <c r="I50" s="119">
        <v>0.142</v>
      </c>
      <c r="J50" s="53">
        <f t="shared" si="7"/>
        <v>1.9369999999999998</v>
      </c>
      <c r="K50" s="267">
        <v>0.142</v>
      </c>
      <c r="L50" s="443">
        <f t="shared" si="9"/>
        <v>1</v>
      </c>
      <c r="M50" s="269"/>
      <c r="N50" s="154"/>
      <c r="O50" s="81">
        <f t="shared" si="3"/>
        <v>13.640845070422536</v>
      </c>
    </row>
    <row r="51" spans="1:15" ht="22.5" customHeight="1">
      <c r="A51" s="30"/>
      <c r="B51" s="5"/>
      <c r="C51" s="8">
        <f t="shared" si="8"/>
        <v>8</v>
      </c>
      <c r="D51" s="121" t="s">
        <v>93</v>
      </c>
      <c r="E51" s="423" t="s">
        <v>366</v>
      </c>
      <c r="F51" s="258">
        <v>18740</v>
      </c>
      <c r="G51" s="493">
        <v>10.121</v>
      </c>
      <c r="H51" s="119">
        <v>5.315</v>
      </c>
      <c r="I51" s="119">
        <v>5.213</v>
      </c>
      <c r="J51" s="53">
        <f t="shared" si="7"/>
        <v>20.649</v>
      </c>
      <c r="K51" s="267">
        <v>10.528</v>
      </c>
      <c r="L51" s="443">
        <f t="shared" si="9"/>
        <v>1</v>
      </c>
      <c r="M51" s="270">
        <f>+I51+H51</f>
        <v>10.528</v>
      </c>
      <c r="N51" s="271">
        <f>+K51-M51</f>
        <v>0</v>
      </c>
      <c r="O51" s="81">
        <f t="shared" si="3"/>
        <v>1.9613411854103344</v>
      </c>
    </row>
    <row r="52" spans="1:15" ht="22.5" customHeight="1">
      <c r="A52" s="30">
        <f>+A50+1</f>
        <v>5</v>
      </c>
      <c r="B52" s="5" t="s">
        <v>12</v>
      </c>
      <c r="C52" s="8">
        <f t="shared" si="8"/>
        <v>9</v>
      </c>
      <c r="D52" s="5" t="s">
        <v>148</v>
      </c>
      <c r="E52" s="423" t="s">
        <v>367</v>
      </c>
      <c r="F52" s="258">
        <v>2342</v>
      </c>
      <c r="G52" s="493">
        <v>0</v>
      </c>
      <c r="H52" s="288">
        <v>1.5</v>
      </c>
      <c r="I52" s="119">
        <v>0</v>
      </c>
      <c r="J52" s="53">
        <f t="shared" si="7"/>
        <v>1.5</v>
      </c>
      <c r="K52" s="267">
        <f t="shared" si="6"/>
        <v>1.5</v>
      </c>
      <c r="L52" s="443">
        <f t="shared" si="9"/>
        <v>1</v>
      </c>
      <c r="M52" s="272"/>
      <c r="N52" s="154"/>
      <c r="O52" s="81">
        <f t="shared" si="3"/>
        <v>1</v>
      </c>
    </row>
    <row r="53" spans="1:15" ht="22.5" customHeight="1">
      <c r="A53" s="30"/>
      <c r="B53" s="5"/>
      <c r="C53" s="8">
        <f t="shared" si="8"/>
        <v>10</v>
      </c>
      <c r="D53" s="5" t="s">
        <v>157</v>
      </c>
      <c r="E53" s="424" t="s">
        <v>368</v>
      </c>
      <c r="F53" s="371">
        <v>1.06</v>
      </c>
      <c r="G53" s="493">
        <v>0.338</v>
      </c>
      <c r="H53" s="119">
        <v>0</v>
      </c>
      <c r="I53" s="119">
        <v>0.215</v>
      </c>
      <c r="J53" s="53">
        <f t="shared" si="7"/>
        <v>0.553</v>
      </c>
      <c r="K53" s="267">
        <f t="shared" si="6"/>
        <v>0.215</v>
      </c>
      <c r="L53" s="443">
        <f t="shared" si="9"/>
        <v>1</v>
      </c>
      <c r="M53" s="273">
        <f>+H53-K53</f>
        <v>-0.215</v>
      </c>
      <c r="N53" s="154"/>
      <c r="O53" s="81">
        <f t="shared" si="3"/>
        <v>2.5720930232558143</v>
      </c>
    </row>
    <row r="54" spans="1:15" ht="22.5" customHeight="1" thickBot="1">
      <c r="A54" s="30">
        <f>+A52+1</f>
        <v>6</v>
      </c>
      <c r="B54" s="5" t="s">
        <v>14</v>
      </c>
      <c r="C54" s="8">
        <f t="shared" si="8"/>
        <v>11</v>
      </c>
      <c r="D54" s="262" t="s">
        <v>155</v>
      </c>
      <c r="E54" s="410" t="s">
        <v>369</v>
      </c>
      <c r="F54" s="372" t="s">
        <v>156</v>
      </c>
      <c r="G54" s="493">
        <v>1.032</v>
      </c>
      <c r="H54" s="119">
        <v>12.24</v>
      </c>
      <c r="I54" s="119">
        <v>0</v>
      </c>
      <c r="J54" s="53">
        <f t="shared" si="7"/>
        <v>13.272</v>
      </c>
      <c r="K54" s="267">
        <v>12.24</v>
      </c>
      <c r="L54" s="443">
        <f t="shared" si="9"/>
        <v>1</v>
      </c>
      <c r="M54" s="104"/>
      <c r="N54" s="27"/>
      <c r="O54" s="81">
        <f t="shared" si="3"/>
        <v>1.084313725490196</v>
      </c>
    </row>
    <row r="55" spans="1:15" ht="22.5" customHeight="1" thickBot="1">
      <c r="A55" s="60"/>
      <c r="B55" s="587" t="s">
        <v>134</v>
      </c>
      <c r="C55" s="588"/>
      <c r="D55" s="589"/>
      <c r="E55" s="425"/>
      <c r="F55" s="369">
        <f aca="true" t="shared" si="10" ref="F55:K55">SUM(F44:F54)</f>
        <v>43824.06</v>
      </c>
      <c r="G55" s="507">
        <f t="shared" si="10"/>
        <v>46.07100000000001</v>
      </c>
      <c r="H55" s="61">
        <f t="shared" si="10"/>
        <v>35.879</v>
      </c>
      <c r="I55" s="61">
        <f t="shared" si="10"/>
        <v>15.475999999999999</v>
      </c>
      <c r="J55" s="61">
        <f t="shared" si="10"/>
        <v>109.502</v>
      </c>
      <c r="K55" s="445">
        <f t="shared" si="10"/>
        <v>51.355000000000004</v>
      </c>
      <c r="L55" s="446">
        <f>IF(K55=0,0,(IF(J55/K55&gt;1,1,J55/K55)))</f>
        <v>1</v>
      </c>
      <c r="M55" s="169"/>
      <c r="N55" s="27"/>
      <c r="O55" s="81">
        <f t="shared" si="3"/>
        <v>2.132255866030571</v>
      </c>
    </row>
    <row r="56" spans="1:15" ht="22.5" customHeight="1" thickBot="1" thickTop="1">
      <c r="A56" s="26" t="s">
        <v>77</v>
      </c>
      <c r="B56" s="594" t="s">
        <v>78</v>
      </c>
      <c r="C56" s="595"/>
      <c r="D56" s="595"/>
      <c r="E56" s="426"/>
      <c r="F56" s="373"/>
      <c r="G56" s="72"/>
      <c r="H56" s="19"/>
      <c r="I56" s="19"/>
      <c r="J56" s="19"/>
      <c r="K56" s="19"/>
      <c r="L56" s="376"/>
      <c r="M56" s="169"/>
      <c r="N56" s="27"/>
      <c r="O56" s="81" t="e">
        <f t="shared" si="3"/>
        <v>#DIV/0!</v>
      </c>
    </row>
    <row r="57" spans="1:15" ht="22.5" customHeight="1" thickTop="1">
      <c r="A57" s="38">
        <v>1</v>
      </c>
      <c r="B57" s="4" t="s">
        <v>13</v>
      </c>
      <c r="C57" s="52">
        <v>1</v>
      </c>
      <c r="D57" s="11" t="s">
        <v>184</v>
      </c>
      <c r="E57" s="422" t="s">
        <v>370</v>
      </c>
      <c r="F57" s="260">
        <v>1379</v>
      </c>
      <c r="G57" s="457">
        <v>0</v>
      </c>
      <c r="H57" s="457">
        <v>0</v>
      </c>
      <c r="I57" s="457">
        <v>0</v>
      </c>
      <c r="J57" s="461">
        <v>0</v>
      </c>
      <c r="K57" s="457">
        <v>0</v>
      </c>
      <c r="L57" s="462">
        <f>IF(K57=0,0,(IF(J57/K57&gt;1,1,J57/K57)))</f>
        <v>0</v>
      </c>
      <c r="M57" s="57"/>
      <c r="N57" s="88">
        <f>SUM(L57:L67)/12</f>
        <v>0.2909491681597548</v>
      </c>
      <c r="O57" s="81" t="e">
        <f t="shared" si="3"/>
        <v>#DIV/0!</v>
      </c>
    </row>
    <row r="58" spans="1:15" ht="22.5" customHeight="1">
      <c r="A58" s="38">
        <v>2</v>
      </c>
      <c r="B58" s="4"/>
      <c r="C58" s="52">
        <f>+C57+1</f>
        <v>2</v>
      </c>
      <c r="D58" s="11" t="s">
        <v>151</v>
      </c>
      <c r="E58" s="427" t="s">
        <v>371</v>
      </c>
      <c r="F58" s="260">
        <v>989</v>
      </c>
      <c r="G58" s="459">
        <v>0</v>
      </c>
      <c r="H58" s="459">
        <v>0.464</v>
      </c>
      <c r="I58" s="460" t="s">
        <v>70</v>
      </c>
      <c r="J58" s="461">
        <v>0.464</v>
      </c>
      <c r="K58" s="459">
        <v>0.184</v>
      </c>
      <c r="L58" s="462">
        <f>IF(K58=0,0,(IF(J58/K58&gt;1,1,J58/K58)))</f>
        <v>1</v>
      </c>
      <c r="M58" s="105"/>
      <c r="N58" s="27"/>
      <c r="O58" s="81">
        <f t="shared" si="3"/>
        <v>2.5217391304347827</v>
      </c>
    </row>
    <row r="59" spans="1:15" ht="22.5" customHeight="1">
      <c r="A59" s="28">
        <v>3</v>
      </c>
      <c r="B59" s="7" t="s">
        <v>14</v>
      </c>
      <c r="C59" s="52">
        <f aca="true" t="shared" si="11" ref="C59:C70">+C58+1</f>
        <v>3</v>
      </c>
      <c r="D59" s="121" t="s">
        <v>15</v>
      </c>
      <c r="E59" s="423" t="s">
        <v>372</v>
      </c>
      <c r="F59" s="258">
        <v>5137</v>
      </c>
      <c r="G59" s="459" t="s">
        <v>70</v>
      </c>
      <c r="H59" s="459">
        <v>0</v>
      </c>
      <c r="I59" s="459">
        <v>0</v>
      </c>
      <c r="J59" s="461">
        <v>0</v>
      </c>
      <c r="K59" s="459">
        <v>0</v>
      </c>
      <c r="L59" s="462">
        <f>IF(K59=0,0,(IF(J59/K59&gt;1,1,J59/K59)))</f>
        <v>0</v>
      </c>
      <c r="M59" s="170"/>
      <c r="N59" s="143" t="s">
        <v>180</v>
      </c>
      <c r="O59" s="81" t="e">
        <f t="shared" si="3"/>
        <v>#DIV/0!</v>
      </c>
    </row>
    <row r="60" spans="1:15" ht="22.5" customHeight="1">
      <c r="A60" s="28">
        <v>4</v>
      </c>
      <c r="B60" s="7" t="s">
        <v>20</v>
      </c>
      <c r="C60" s="52">
        <f t="shared" si="11"/>
        <v>4</v>
      </c>
      <c r="D60" s="394" t="s">
        <v>21</v>
      </c>
      <c r="E60" s="423" t="s">
        <v>373</v>
      </c>
      <c r="F60" s="258">
        <v>665</v>
      </c>
      <c r="G60" s="459" t="s">
        <v>70</v>
      </c>
      <c r="H60" s="459">
        <v>0</v>
      </c>
      <c r="I60" s="459">
        <v>0</v>
      </c>
      <c r="J60" s="461">
        <v>0</v>
      </c>
      <c r="K60" s="459"/>
      <c r="L60" s="458"/>
      <c r="M60" s="170"/>
      <c r="N60" s="27"/>
      <c r="O60" s="81" t="e">
        <f t="shared" si="3"/>
        <v>#DIV/0!</v>
      </c>
    </row>
    <row r="61" spans="1:15" ht="22.5" customHeight="1">
      <c r="A61" s="28">
        <v>5</v>
      </c>
      <c r="B61" s="7"/>
      <c r="C61" s="52">
        <f t="shared" si="11"/>
        <v>5</v>
      </c>
      <c r="D61" s="5" t="s">
        <v>152</v>
      </c>
      <c r="E61" s="423" t="s">
        <v>374</v>
      </c>
      <c r="F61" s="258">
        <v>1590</v>
      </c>
      <c r="G61" s="459">
        <v>0</v>
      </c>
      <c r="H61" s="459">
        <v>0</v>
      </c>
      <c r="I61" s="459">
        <v>0</v>
      </c>
      <c r="J61" s="461">
        <f aca="true" t="shared" si="12" ref="J61:J66">G61+H61+I61</f>
        <v>0</v>
      </c>
      <c r="K61" s="459">
        <v>0</v>
      </c>
      <c r="L61" s="462">
        <f aca="true" t="shared" si="13" ref="L61:L70">IF(K61=0,0,(IF(J61/K61&gt;1,1,J61/K61)))</f>
        <v>0</v>
      </c>
      <c r="M61" s="170"/>
      <c r="N61" s="27"/>
      <c r="O61" s="81" t="e">
        <f t="shared" si="3"/>
        <v>#DIV/0!</v>
      </c>
    </row>
    <row r="62" spans="1:15" ht="22.5" customHeight="1">
      <c r="A62" s="28">
        <v>6</v>
      </c>
      <c r="B62" s="7" t="s">
        <v>24</v>
      </c>
      <c r="C62" s="52">
        <f t="shared" si="11"/>
        <v>6</v>
      </c>
      <c r="D62" s="395" t="s">
        <v>328</v>
      </c>
      <c r="E62" s="423" t="s">
        <v>375</v>
      </c>
      <c r="F62" s="258">
        <v>136</v>
      </c>
      <c r="G62" s="459">
        <v>0</v>
      </c>
      <c r="H62" s="459">
        <v>0</v>
      </c>
      <c r="I62" s="459">
        <v>0.029</v>
      </c>
      <c r="J62" s="461">
        <f t="shared" si="12"/>
        <v>0.029</v>
      </c>
      <c r="K62" s="459">
        <v>0.109</v>
      </c>
      <c r="L62" s="462">
        <f t="shared" si="13"/>
        <v>0.26605504587155965</v>
      </c>
      <c r="M62" s="170"/>
      <c r="N62" s="27"/>
      <c r="O62" s="81">
        <f t="shared" si="3"/>
        <v>0.26605504587155965</v>
      </c>
    </row>
    <row r="63" spans="1:15" ht="22.5" customHeight="1">
      <c r="A63" s="28">
        <v>7</v>
      </c>
      <c r="B63" s="7" t="s">
        <v>22</v>
      </c>
      <c r="C63" s="52">
        <f t="shared" si="11"/>
        <v>7</v>
      </c>
      <c r="D63" s="5" t="s">
        <v>153</v>
      </c>
      <c r="E63" s="423" t="s">
        <v>376</v>
      </c>
      <c r="F63" s="258">
        <v>1375</v>
      </c>
      <c r="G63" s="459">
        <v>0.522</v>
      </c>
      <c r="H63" s="459">
        <v>0.271</v>
      </c>
      <c r="I63" s="459">
        <v>0.302</v>
      </c>
      <c r="J63" s="461">
        <f t="shared" si="12"/>
        <v>1.095</v>
      </c>
      <c r="K63" s="459">
        <v>0.293</v>
      </c>
      <c r="L63" s="462">
        <f t="shared" si="13"/>
        <v>1</v>
      </c>
      <c r="M63" s="171"/>
      <c r="N63" s="27"/>
      <c r="O63" s="81">
        <f t="shared" si="3"/>
        <v>3.7372013651877136</v>
      </c>
    </row>
    <row r="64" spans="1:15" ht="22.5" customHeight="1">
      <c r="A64" s="28">
        <v>8</v>
      </c>
      <c r="B64" s="7" t="s">
        <v>24</v>
      </c>
      <c r="C64" s="52">
        <f t="shared" si="11"/>
        <v>8</v>
      </c>
      <c r="D64" s="5" t="s">
        <v>25</v>
      </c>
      <c r="E64" s="410" t="s">
        <v>377</v>
      </c>
      <c r="F64" s="258">
        <v>2865</v>
      </c>
      <c r="G64" s="460">
        <v>0</v>
      </c>
      <c r="H64" s="459">
        <v>0.425</v>
      </c>
      <c r="I64" s="459">
        <v>0.8</v>
      </c>
      <c r="J64" s="461">
        <f t="shared" si="12"/>
        <v>1.225</v>
      </c>
      <c r="K64" s="459">
        <v>1.52</v>
      </c>
      <c r="L64" s="462">
        <f t="shared" si="13"/>
        <v>0.805921052631579</v>
      </c>
      <c r="M64" s="172"/>
      <c r="N64" s="27"/>
      <c r="O64" s="81">
        <f t="shared" si="3"/>
        <v>0.805921052631579</v>
      </c>
    </row>
    <row r="65" spans="1:15" ht="22.5" customHeight="1">
      <c r="A65" s="28">
        <v>9</v>
      </c>
      <c r="B65" s="9"/>
      <c r="C65" s="52">
        <f t="shared" si="11"/>
        <v>9</v>
      </c>
      <c r="D65" s="10" t="s">
        <v>154</v>
      </c>
      <c r="E65" s="410" t="s">
        <v>378</v>
      </c>
      <c r="F65" s="258">
        <v>683</v>
      </c>
      <c r="G65" s="460">
        <v>0</v>
      </c>
      <c r="H65" s="459">
        <v>0.229</v>
      </c>
      <c r="I65" s="459" t="s">
        <v>70</v>
      </c>
      <c r="J65" s="461">
        <f t="shared" si="12"/>
        <v>0.229</v>
      </c>
      <c r="K65" s="459">
        <v>0.546</v>
      </c>
      <c r="L65" s="462">
        <f t="shared" si="13"/>
        <v>0.4194139194139194</v>
      </c>
      <c r="M65" s="57"/>
      <c r="N65" s="27"/>
      <c r="O65" s="81">
        <f t="shared" si="3"/>
        <v>0.4194139194139194</v>
      </c>
    </row>
    <row r="66" spans="1:15" ht="22.5" customHeight="1">
      <c r="A66" s="30">
        <v>10</v>
      </c>
      <c r="B66" s="9" t="s">
        <v>26</v>
      </c>
      <c r="C66" s="52">
        <f t="shared" si="11"/>
        <v>10</v>
      </c>
      <c r="D66" s="256" t="s">
        <v>27</v>
      </c>
      <c r="E66" s="410" t="s">
        <v>379</v>
      </c>
      <c r="F66" s="257">
        <v>3760</v>
      </c>
      <c r="G66" s="459">
        <v>0</v>
      </c>
      <c r="H66" s="459">
        <v>0</v>
      </c>
      <c r="I66" s="459">
        <v>0</v>
      </c>
      <c r="J66" s="461">
        <f t="shared" si="12"/>
        <v>0</v>
      </c>
      <c r="K66" s="459">
        <v>0</v>
      </c>
      <c r="L66" s="462">
        <f t="shared" si="13"/>
        <v>0</v>
      </c>
      <c r="M66" s="170"/>
      <c r="N66" s="179"/>
      <c r="O66" s="81" t="e">
        <f t="shared" si="3"/>
        <v>#DIV/0!</v>
      </c>
    </row>
    <row r="67" spans="1:15" ht="22.5" customHeight="1">
      <c r="A67" s="30">
        <v>11</v>
      </c>
      <c r="B67" s="9"/>
      <c r="C67" s="282">
        <f t="shared" si="11"/>
        <v>11</v>
      </c>
      <c r="D67" s="10" t="s">
        <v>146</v>
      </c>
      <c r="E67" s="410" t="s">
        <v>380</v>
      </c>
      <c r="F67" s="257">
        <v>1759</v>
      </c>
      <c r="G67" s="459">
        <v>0</v>
      </c>
      <c r="H67" s="459">
        <v>0</v>
      </c>
      <c r="I67" s="459">
        <v>0</v>
      </c>
      <c r="J67" s="461">
        <v>0</v>
      </c>
      <c r="K67" s="459">
        <v>0</v>
      </c>
      <c r="L67" s="462">
        <f t="shared" si="13"/>
        <v>0</v>
      </c>
      <c r="M67" s="170"/>
      <c r="N67" s="27"/>
      <c r="O67" s="81" t="e">
        <f t="shared" si="3"/>
        <v>#DIV/0!</v>
      </c>
    </row>
    <row r="68" spans="1:15" ht="22.5" customHeight="1">
      <c r="A68" s="30">
        <v>12</v>
      </c>
      <c r="B68" s="283" t="s">
        <v>18</v>
      </c>
      <c r="C68" s="8">
        <f t="shared" si="11"/>
        <v>12</v>
      </c>
      <c r="D68" s="432" t="s">
        <v>250</v>
      </c>
      <c r="E68" s="410" t="s">
        <v>372</v>
      </c>
      <c r="F68" s="257">
        <v>6038</v>
      </c>
      <c r="G68" s="459">
        <v>0</v>
      </c>
      <c r="H68" s="459" t="s">
        <v>70</v>
      </c>
      <c r="I68" s="459">
        <v>0</v>
      </c>
      <c r="J68" s="461">
        <f>G68+H68+I68</f>
        <v>0</v>
      </c>
      <c r="K68" s="459">
        <v>0</v>
      </c>
      <c r="L68" s="462">
        <f t="shared" si="13"/>
        <v>0</v>
      </c>
      <c r="M68" s="170"/>
      <c r="N68" s="27"/>
      <c r="O68" s="81"/>
    </row>
    <row r="69" spans="1:15" ht="22.5" customHeight="1">
      <c r="A69" s="30">
        <v>13</v>
      </c>
      <c r="B69" s="284"/>
      <c r="C69" s="8">
        <f t="shared" si="11"/>
        <v>13</v>
      </c>
      <c r="D69" s="278" t="s">
        <v>251</v>
      </c>
      <c r="E69" s="423" t="s">
        <v>372</v>
      </c>
      <c r="F69" s="258">
        <v>16055</v>
      </c>
      <c r="G69" s="459">
        <v>0</v>
      </c>
      <c r="H69" s="459" t="s">
        <v>70</v>
      </c>
      <c r="I69" s="459">
        <v>0</v>
      </c>
      <c r="J69" s="461">
        <f>G69+H69+I69</f>
        <v>0</v>
      </c>
      <c r="K69" s="459">
        <v>0</v>
      </c>
      <c r="L69" s="462">
        <f t="shared" si="13"/>
        <v>0</v>
      </c>
      <c r="M69" s="170"/>
      <c r="N69" s="27"/>
      <c r="O69" s="81"/>
    </row>
    <row r="70" spans="1:15" ht="22.5" customHeight="1" thickBot="1">
      <c r="A70" s="30">
        <v>14</v>
      </c>
      <c r="B70" s="48"/>
      <c r="C70" s="285">
        <f t="shared" si="11"/>
        <v>14</v>
      </c>
      <c r="D70" s="384" t="s">
        <v>252</v>
      </c>
      <c r="E70" s="422" t="s">
        <v>381</v>
      </c>
      <c r="F70" s="370">
        <v>37732</v>
      </c>
      <c r="G70" s="459">
        <v>0</v>
      </c>
      <c r="H70" s="459">
        <v>0</v>
      </c>
      <c r="I70" s="459">
        <v>0</v>
      </c>
      <c r="J70" s="461">
        <v>0</v>
      </c>
      <c r="K70" s="459">
        <v>0</v>
      </c>
      <c r="L70" s="462">
        <f t="shared" si="13"/>
        <v>0</v>
      </c>
      <c r="M70" s="170"/>
      <c r="N70" s="27"/>
      <c r="O70" s="81"/>
    </row>
    <row r="71" spans="1:15" ht="22.5" customHeight="1" thickBot="1">
      <c r="A71" s="39"/>
      <c r="B71" s="587" t="s">
        <v>135</v>
      </c>
      <c r="C71" s="588"/>
      <c r="D71" s="589"/>
      <c r="E71" s="369"/>
      <c r="F71" s="369">
        <f aca="true" t="shared" si="14" ref="F71:K71">SUM(F57:F70)</f>
        <v>80163</v>
      </c>
      <c r="G71" s="80">
        <f t="shared" si="14"/>
        <v>0.522</v>
      </c>
      <c r="H71" s="61">
        <f t="shared" si="14"/>
        <v>1.3890000000000002</v>
      </c>
      <c r="I71" s="61">
        <f t="shared" si="14"/>
        <v>1.131</v>
      </c>
      <c r="J71" s="61">
        <f t="shared" si="14"/>
        <v>3.0420000000000003</v>
      </c>
      <c r="K71" s="445">
        <f t="shared" si="14"/>
        <v>2.652</v>
      </c>
      <c r="L71" s="447">
        <f>IF((J71/K71)&gt;1,1,J71/K71)</f>
        <v>1</v>
      </c>
      <c r="M71" s="173"/>
      <c r="N71" s="27"/>
      <c r="O71" s="81">
        <f t="shared" si="3"/>
        <v>1.147058823529412</v>
      </c>
    </row>
    <row r="72" spans="1:15" ht="24.75" customHeight="1">
      <c r="A72" s="167"/>
      <c r="B72" s="274"/>
      <c r="C72" s="274"/>
      <c r="D72" s="274" t="s">
        <v>335</v>
      </c>
      <c r="E72" s="274"/>
      <c r="F72" s="275"/>
      <c r="G72" s="68"/>
      <c r="H72" s="276"/>
      <c r="I72" s="276"/>
      <c r="J72" s="276"/>
      <c r="K72" s="276"/>
      <c r="L72" s="277"/>
      <c r="M72" s="173"/>
      <c r="N72" s="27"/>
      <c r="O72" s="81"/>
    </row>
    <row r="73" spans="1:15" ht="24.75" customHeight="1">
      <c r="A73" s="167"/>
      <c r="B73" s="274"/>
      <c r="C73" s="274"/>
      <c r="D73" s="274"/>
      <c r="E73" s="274"/>
      <c r="F73" s="64"/>
      <c r="G73" s="68"/>
      <c r="H73" s="276"/>
      <c r="I73" s="276"/>
      <c r="J73" s="276"/>
      <c r="K73" s="276"/>
      <c r="L73" s="277"/>
      <c r="M73" s="173"/>
      <c r="N73" s="27"/>
      <c r="O73" s="81"/>
    </row>
    <row r="74" spans="1:15" ht="24.75" customHeight="1">
      <c r="A74" s="167"/>
      <c r="B74" s="274"/>
      <c r="C74" s="274"/>
      <c r="D74" s="274"/>
      <c r="E74" s="274"/>
      <c r="F74" s="64"/>
      <c r="G74" s="68"/>
      <c r="H74" s="276"/>
      <c r="I74" s="276"/>
      <c r="J74" s="276"/>
      <c r="K74" s="276"/>
      <c r="L74" s="277"/>
      <c r="M74" s="173"/>
      <c r="N74" s="27"/>
      <c r="O74" s="81"/>
    </row>
    <row r="75" spans="1:15" ht="24.75" customHeight="1">
      <c r="A75" s="167"/>
      <c r="B75" s="274"/>
      <c r="C75" s="274"/>
      <c r="D75" s="274"/>
      <c r="E75" s="274"/>
      <c r="F75" s="64"/>
      <c r="G75" s="68"/>
      <c r="H75" s="276"/>
      <c r="I75" s="276"/>
      <c r="J75" s="276"/>
      <c r="K75" s="276"/>
      <c r="L75" s="277"/>
      <c r="M75" s="173"/>
      <c r="N75" s="27"/>
      <c r="O75" s="81"/>
    </row>
    <row r="76" spans="1:15" ht="24.75" customHeight="1">
      <c r="A76" s="167"/>
      <c r="B76" s="274"/>
      <c r="C76" s="274"/>
      <c r="D76" s="274"/>
      <c r="E76" s="274"/>
      <c r="F76" s="64"/>
      <c r="G76" s="68"/>
      <c r="H76" s="276"/>
      <c r="I76" s="276"/>
      <c r="J76" s="276"/>
      <c r="K76" s="276"/>
      <c r="L76" s="277"/>
      <c r="M76" s="173"/>
      <c r="N76" s="27"/>
      <c r="O76" s="81"/>
    </row>
    <row r="77" spans="1:15" ht="24.75" customHeight="1">
      <c r="A77" s="167"/>
      <c r="B77" s="274"/>
      <c r="C77" s="274"/>
      <c r="D77" s="274"/>
      <c r="E77" s="274"/>
      <c r="F77" s="64"/>
      <c r="G77" s="68"/>
      <c r="H77" s="276"/>
      <c r="I77" s="276"/>
      <c r="J77" s="276"/>
      <c r="K77" s="276"/>
      <c r="L77" s="277"/>
      <c r="M77" s="173"/>
      <c r="N77" s="27"/>
      <c r="O77" s="81"/>
    </row>
    <row r="78" spans="1:15" ht="24.75" customHeight="1">
      <c r="A78" s="167"/>
      <c r="B78" s="274"/>
      <c r="C78" s="274"/>
      <c r="D78" s="274"/>
      <c r="E78" s="274"/>
      <c r="F78" s="64"/>
      <c r="G78" s="68"/>
      <c r="H78" s="276"/>
      <c r="I78" s="276"/>
      <c r="J78" s="276"/>
      <c r="K78" s="276"/>
      <c r="L78" s="277"/>
      <c r="M78" s="173"/>
      <c r="N78" s="27"/>
      <c r="O78" s="81"/>
    </row>
    <row r="79" spans="1:15" ht="24.75" customHeight="1">
      <c r="A79" s="167"/>
      <c r="B79" s="274"/>
      <c r="C79" s="274"/>
      <c r="D79" s="274"/>
      <c r="E79" s="274"/>
      <c r="F79" s="64"/>
      <c r="G79" s="68"/>
      <c r="H79" s="276"/>
      <c r="I79" s="276"/>
      <c r="J79" s="276"/>
      <c r="K79" s="276"/>
      <c r="L79" s="277"/>
      <c r="M79" s="173"/>
      <c r="N79" s="27"/>
      <c r="O79" s="81"/>
    </row>
    <row r="80" spans="1:15" ht="24.75" customHeight="1">
      <c r="A80" s="167"/>
      <c r="B80" s="274"/>
      <c r="C80" s="274"/>
      <c r="D80" s="274"/>
      <c r="E80" s="274"/>
      <c r="F80" s="64"/>
      <c r="G80" s="68"/>
      <c r="H80" s="276"/>
      <c r="I80" s="276"/>
      <c r="J80" s="276"/>
      <c r="K80" s="276"/>
      <c r="L80" s="277"/>
      <c r="M80" s="173"/>
      <c r="N80" s="27"/>
      <c r="O80" s="81"/>
    </row>
    <row r="81" spans="1:15" ht="24.75" customHeight="1">
      <c r="A81" s="167"/>
      <c r="B81" s="274"/>
      <c r="C81" s="274"/>
      <c r="D81" s="274"/>
      <c r="E81" s="274"/>
      <c r="F81" s="64"/>
      <c r="G81" s="68"/>
      <c r="H81" s="276"/>
      <c r="I81" s="276"/>
      <c r="J81" s="276"/>
      <c r="K81" s="276"/>
      <c r="L81" s="277"/>
      <c r="M81" s="173"/>
      <c r="N81" s="27"/>
      <c r="O81" s="81"/>
    </row>
    <row r="82" spans="1:15" ht="24.75" customHeight="1">
      <c r="A82" s="167"/>
      <c r="B82" s="274"/>
      <c r="C82" s="274"/>
      <c r="D82" s="274"/>
      <c r="E82" s="274"/>
      <c r="F82" s="64"/>
      <c r="G82" s="68"/>
      <c r="H82" s="276"/>
      <c r="I82" s="276"/>
      <c r="J82" s="276"/>
      <c r="K82" s="276"/>
      <c r="L82" s="277"/>
      <c r="M82" s="173"/>
      <c r="N82" s="27"/>
      <c r="O82" s="81"/>
    </row>
    <row r="83" spans="1:15" ht="24.75" customHeight="1">
      <c r="A83" s="167"/>
      <c r="B83" s="274"/>
      <c r="C83" s="274"/>
      <c r="D83" s="274"/>
      <c r="E83" s="274"/>
      <c r="F83" s="64"/>
      <c r="G83" s="68"/>
      <c r="H83" s="276"/>
      <c r="I83" s="276"/>
      <c r="J83" s="276"/>
      <c r="K83" s="276"/>
      <c r="L83" s="277"/>
      <c r="M83" s="173"/>
      <c r="N83" s="27"/>
      <c r="O83" s="81"/>
    </row>
    <row r="84" spans="1:15" ht="24.75" customHeight="1">
      <c r="A84" s="167"/>
      <c r="B84" s="274"/>
      <c r="C84" s="274"/>
      <c r="D84" s="274"/>
      <c r="E84" s="274"/>
      <c r="F84" s="64"/>
      <c r="G84" s="68"/>
      <c r="H84" s="276"/>
      <c r="I84" s="276"/>
      <c r="J84" s="276"/>
      <c r="K84" s="276"/>
      <c r="L84" s="277"/>
      <c r="M84" s="173"/>
      <c r="N84" s="27"/>
      <c r="O84" s="81"/>
    </row>
    <row r="85" spans="1:15" ht="24.75" customHeight="1">
      <c r="A85" s="167"/>
      <c r="B85" s="274"/>
      <c r="C85" s="274"/>
      <c r="D85" s="274"/>
      <c r="E85" s="274"/>
      <c r="F85" s="64"/>
      <c r="G85" s="68"/>
      <c r="H85" s="276"/>
      <c r="I85" s="276"/>
      <c r="J85" s="276"/>
      <c r="K85" s="276"/>
      <c r="L85" s="277"/>
      <c r="M85" s="173"/>
      <c r="N85" s="27"/>
      <c r="O85" s="81"/>
    </row>
    <row r="86" spans="1:15" ht="24.75" customHeight="1">
      <c r="A86" s="167"/>
      <c r="B86" s="274"/>
      <c r="C86" s="274"/>
      <c r="D86" s="274"/>
      <c r="E86" s="274"/>
      <c r="F86" s="64"/>
      <c r="G86" s="68"/>
      <c r="H86" s="276"/>
      <c r="I86" s="276"/>
      <c r="J86" s="276"/>
      <c r="K86" s="276"/>
      <c r="L86" s="277"/>
      <c r="M86" s="173"/>
      <c r="N86" s="27"/>
      <c r="O86" s="81"/>
    </row>
    <row r="87" spans="1:15" ht="24.75" customHeight="1">
      <c r="A87" s="167"/>
      <c r="B87" s="274"/>
      <c r="C87" s="274"/>
      <c r="D87" s="274"/>
      <c r="E87" s="274"/>
      <c r="F87" s="64"/>
      <c r="G87" s="68"/>
      <c r="H87" s="276"/>
      <c r="I87" s="276"/>
      <c r="J87" s="276"/>
      <c r="K87" s="276"/>
      <c r="L87" s="277"/>
      <c r="M87" s="173"/>
      <c r="N87" s="27"/>
      <c r="O87" s="81"/>
    </row>
    <row r="88" spans="1:15" ht="24.75" customHeight="1">
      <c r="A88" s="167"/>
      <c r="B88" s="274"/>
      <c r="C88" s="274"/>
      <c r="D88" s="274"/>
      <c r="E88" s="274"/>
      <c r="F88" s="64"/>
      <c r="G88" s="68"/>
      <c r="H88" s="276"/>
      <c r="I88" s="276"/>
      <c r="J88" s="276"/>
      <c r="K88" s="276"/>
      <c r="L88" s="277"/>
      <c r="M88" s="173"/>
      <c r="N88" s="27"/>
      <c r="O88" s="81"/>
    </row>
    <row r="89" spans="1:15" ht="24.75" customHeight="1">
      <c r="A89" s="167"/>
      <c r="B89" s="274"/>
      <c r="C89" s="274"/>
      <c r="D89" s="274"/>
      <c r="E89" s="274"/>
      <c r="F89" s="64"/>
      <c r="G89" s="68"/>
      <c r="H89" s="276"/>
      <c r="I89" s="276"/>
      <c r="J89" s="276"/>
      <c r="K89" s="276"/>
      <c r="L89" s="277"/>
      <c r="M89" s="173"/>
      <c r="N89" s="27"/>
      <c r="O89" s="81"/>
    </row>
    <row r="90" spans="1:15" ht="24.75" customHeight="1">
      <c r="A90" s="167"/>
      <c r="B90" s="274"/>
      <c r="C90" s="274"/>
      <c r="D90" s="274"/>
      <c r="E90" s="274"/>
      <c r="F90" s="64"/>
      <c r="G90" s="68"/>
      <c r="H90" s="276"/>
      <c r="I90" s="276"/>
      <c r="J90" s="276"/>
      <c r="K90" s="276"/>
      <c r="L90" s="277"/>
      <c r="M90" s="173"/>
      <c r="N90" s="27"/>
      <c r="O90" s="81"/>
    </row>
    <row r="91" spans="1:15" ht="24.75" customHeight="1">
      <c r="A91" s="167"/>
      <c r="B91" s="274"/>
      <c r="C91" s="274"/>
      <c r="D91" s="274"/>
      <c r="E91" s="274"/>
      <c r="F91" s="64"/>
      <c r="G91" s="68"/>
      <c r="H91" s="276"/>
      <c r="I91" s="276"/>
      <c r="J91" s="276"/>
      <c r="K91" s="276"/>
      <c r="L91" s="277"/>
      <c r="M91" s="173"/>
      <c r="N91" s="27"/>
      <c r="O91" s="81"/>
    </row>
    <row r="92" spans="1:15" ht="24.75" customHeight="1">
      <c r="A92" s="167"/>
      <c r="B92" s="274"/>
      <c r="C92" s="274"/>
      <c r="D92" s="274"/>
      <c r="E92" s="274"/>
      <c r="F92" s="64"/>
      <c r="G92" s="68"/>
      <c r="H92" s="276"/>
      <c r="I92" s="276"/>
      <c r="J92" s="276"/>
      <c r="K92" s="276"/>
      <c r="L92" s="277"/>
      <c r="M92" s="173"/>
      <c r="N92" s="27"/>
      <c r="O92" s="81"/>
    </row>
    <row r="93" spans="1:15" ht="24.75" customHeight="1" thickBot="1">
      <c r="A93" s="167"/>
      <c r="B93" s="274"/>
      <c r="C93" s="274"/>
      <c r="D93" s="274"/>
      <c r="E93" s="274"/>
      <c r="F93" s="64"/>
      <c r="G93" s="68"/>
      <c r="H93" s="276"/>
      <c r="I93" s="276"/>
      <c r="J93" s="276"/>
      <c r="K93" s="276"/>
      <c r="L93" s="277"/>
      <c r="M93" s="173"/>
      <c r="N93" s="27"/>
      <c r="O93" s="81"/>
    </row>
    <row r="94" spans="2:13" ht="16.5" customHeight="1" thickBot="1">
      <c r="B94" s="114"/>
      <c r="C94" s="113"/>
      <c r="D94" s="174" t="s">
        <v>186</v>
      </c>
      <c r="E94" s="174"/>
      <c r="F94" s="178"/>
      <c r="G94" s="177" t="s">
        <v>190</v>
      </c>
      <c r="H94" s="175"/>
      <c r="I94" s="175"/>
      <c r="J94" s="175"/>
      <c r="K94" s="73"/>
      <c r="L94" s="73"/>
      <c r="M94" s="73"/>
    </row>
    <row r="95" spans="6:10" ht="6.75" customHeight="1" thickBot="1">
      <c r="F95" s="111"/>
      <c r="G95" s="111"/>
      <c r="H95" s="176"/>
      <c r="I95" s="176"/>
      <c r="J95" s="176"/>
    </row>
    <row r="96" spans="6:10" ht="16.5" customHeight="1" thickBot="1">
      <c r="F96" s="189"/>
      <c r="G96" s="177" t="s">
        <v>187</v>
      </c>
      <c r="H96" s="176"/>
      <c r="I96" s="176"/>
      <c r="J96" s="176"/>
    </row>
    <row r="97" spans="6:10" ht="6.75" customHeight="1" thickBot="1">
      <c r="F97" s="111"/>
      <c r="G97" s="111"/>
      <c r="H97" s="176"/>
      <c r="I97" s="176"/>
      <c r="J97" s="176"/>
    </row>
    <row r="98" spans="6:10" ht="16.5" customHeight="1" thickBot="1">
      <c r="F98" s="188"/>
      <c r="G98" s="177" t="s">
        <v>189</v>
      </c>
      <c r="H98" s="176"/>
      <c r="I98" s="176"/>
      <c r="J98" s="176"/>
    </row>
    <row r="99" spans="6:10" ht="6.75" customHeight="1" thickBot="1">
      <c r="F99" s="111"/>
      <c r="G99" s="111"/>
      <c r="H99" s="176"/>
      <c r="I99" s="176"/>
      <c r="J99" s="176"/>
    </row>
    <row r="100" spans="6:10" ht="16.5" customHeight="1" thickBot="1">
      <c r="F100" s="187"/>
      <c r="G100" s="177" t="s">
        <v>188</v>
      </c>
      <c r="H100" s="176"/>
      <c r="I100" s="176"/>
      <c r="J100" s="176"/>
    </row>
  </sheetData>
  <sheetProtection/>
  <mergeCells count="29">
    <mergeCell ref="G43:K43"/>
    <mergeCell ref="B42:D42"/>
    <mergeCell ref="B55:D55"/>
    <mergeCell ref="B11:D11"/>
    <mergeCell ref="B71:D71"/>
    <mergeCell ref="B43:D43"/>
    <mergeCell ref="B56:D56"/>
    <mergeCell ref="A3:L3"/>
    <mergeCell ref="A5:L5"/>
    <mergeCell ref="A7:A9"/>
    <mergeCell ref="H7:I7"/>
    <mergeCell ref="D7:D9"/>
    <mergeCell ref="B7:C9"/>
    <mergeCell ref="A4:L4"/>
    <mergeCell ref="L8:L9"/>
    <mergeCell ref="AZ1:BF1"/>
    <mergeCell ref="BG1:BI1"/>
    <mergeCell ref="AZ2:BF2"/>
    <mergeCell ref="AZ3:BF3"/>
    <mergeCell ref="AZ4:BF4"/>
    <mergeCell ref="AX6:AX8"/>
    <mergeCell ref="BD6:BE6"/>
    <mergeCell ref="BI6:BI8"/>
    <mergeCell ref="BE27:BG27"/>
    <mergeCell ref="BD35:BH35"/>
    <mergeCell ref="AY36:BA36"/>
    <mergeCell ref="BD36:BH36"/>
    <mergeCell ref="BD7:BD8"/>
    <mergeCell ref="BE7:BE8"/>
  </mergeCells>
  <printOptions horizontalCentered="1" verticalCentered="1"/>
  <pageMargins left="0.7" right="0.7" top="0.15" bottom="0.5" header="0.3" footer="0.3"/>
  <pageSetup horizontalDpi="600" verticalDpi="600" orientation="portrait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9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508" t="s">
        <v>71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166"/>
      <c r="M1" s="27"/>
    </row>
    <row r="2" spans="1:13" ht="24.75">
      <c r="A2" s="508" t="s">
        <v>144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166"/>
      <c r="M2" s="27"/>
    </row>
    <row r="3" spans="1:13" ht="21.75">
      <c r="A3" s="509" t="s">
        <v>196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1"/>
      <c r="M3" s="154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7"/>
    </row>
    <row r="5" spans="1:13" ht="17.25" thickBot="1" thickTop="1">
      <c r="A5" s="531" t="s">
        <v>0</v>
      </c>
      <c r="B5" s="541" t="s">
        <v>95</v>
      </c>
      <c r="C5" s="542"/>
      <c r="D5" s="533" t="s">
        <v>4</v>
      </c>
      <c r="E5" s="144" t="s">
        <v>51</v>
      </c>
      <c r="F5" s="146" t="s">
        <v>57</v>
      </c>
      <c r="G5" s="535" t="s">
        <v>54</v>
      </c>
      <c r="H5" s="536"/>
      <c r="I5" s="150" t="s">
        <v>57</v>
      </c>
      <c r="J5" s="152" t="s">
        <v>57</v>
      </c>
      <c r="K5" s="155" t="s">
        <v>60</v>
      </c>
      <c r="L5" s="193"/>
      <c r="M5" s="86"/>
    </row>
    <row r="6" spans="1:13" ht="15.75">
      <c r="A6" s="532"/>
      <c r="B6" s="543"/>
      <c r="C6" s="544"/>
      <c r="D6" s="534"/>
      <c r="E6" s="145" t="s">
        <v>52</v>
      </c>
      <c r="F6" s="147" t="s">
        <v>62</v>
      </c>
      <c r="G6" s="148" t="s">
        <v>55</v>
      </c>
      <c r="H6" s="149" t="s">
        <v>56</v>
      </c>
      <c r="I6" s="151" t="s">
        <v>58</v>
      </c>
      <c r="J6" s="153" t="s">
        <v>59</v>
      </c>
      <c r="K6" s="547" t="s">
        <v>61</v>
      </c>
      <c r="L6" s="242"/>
      <c r="M6" s="86"/>
    </row>
    <row r="7" spans="1:13" ht="19.5" thickBot="1">
      <c r="A7" s="532"/>
      <c r="B7" s="545"/>
      <c r="C7" s="546"/>
      <c r="D7" s="534"/>
      <c r="E7" s="145" t="s">
        <v>53</v>
      </c>
      <c r="F7" s="158" t="s">
        <v>98</v>
      </c>
      <c r="G7" s="159" t="s">
        <v>98</v>
      </c>
      <c r="H7" s="160" t="s">
        <v>98</v>
      </c>
      <c r="I7" s="156" t="s">
        <v>98</v>
      </c>
      <c r="J7" s="157" t="s">
        <v>98</v>
      </c>
      <c r="K7" s="548"/>
      <c r="L7" s="243"/>
      <c r="M7" s="27"/>
    </row>
    <row r="8" spans="1:13" ht="16.5" thickBot="1">
      <c r="A8" s="161">
        <v>1</v>
      </c>
      <c r="B8" s="162">
        <v>2</v>
      </c>
      <c r="C8" s="163"/>
      <c r="D8" s="164">
        <v>3</v>
      </c>
      <c r="E8" s="164">
        <v>4</v>
      </c>
      <c r="F8" s="164">
        <v>5</v>
      </c>
      <c r="G8" s="164">
        <v>6</v>
      </c>
      <c r="H8" s="164">
        <v>7</v>
      </c>
      <c r="I8" s="164" t="s">
        <v>64</v>
      </c>
      <c r="J8" s="164">
        <v>9</v>
      </c>
      <c r="K8" s="165">
        <v>10</v>
      </c>
      <c r="L8" s="244"/>
      <c r="M8" s="27"/>
    </row>
    <row r="9" spans="1:18" ht="17.25" thickBot="1" thickTop="1">
      <c r="A9" s="26" t="s">
        <v>73</v>
      </c>
      <c r="B9" s="551" t="s">
        <v>74</v>
      </c>
      <c r="C9" s="552"/>
      <c r="D9" s="552"/>
      <c r="E9" s="20"/>
      <c r="F9" s="20"/>
      <c r="G9" s="20"/>
      <c r="H9" s="20"/>
      <c r="I9" s="20"/>
      <c r="J9" s="20"/>
      <c r="K9" s="29"/>
      <c r="L9" s="167"/>
      <c r="M9" s="241" t="s">
        <v>197</v>
      </c>
      <c r="N9" s="249" t="s">
        <v>198</v>
      </c>
      <c r="O9" s="249" t="s">
        <v>199</v>
      </c>
      <c r="P9" s="249" t="s">
        <v>200</v>
      </c>
      <c r="Q9" s="249" t="s">
        <v>201</v>
      </c>
      <c r="R9" s="249"/>
    </row>
    <row r="10" spans="1:18" ht="16.5" thickTop="1">
      <c r="A10" s="37">
        <v>1</v>
      </c>
      <c r="B10" s="4" t="s">
        <v>3</v>
      </c>
      <c r="C10" s="52">
        <v>1</v>
      </c>
      <c r="D10" s="11" t="s">
        <v>6</v>
      </c>
      <c r="E10" s="22">
        <v>26952</v>
      </c>
      <c r="F10" s="53">
        <v>110.363</v>
      </c>
      <c r="G10" s="69">
        <v>24.947</v>
      </c>
      <c r="H10" s="69" t="s">
        <v>70</v>
      </c>
      <c r="I10" s="70">
        <f aca="true" t="shared" si="0" ref="I10:I17">+H10+G10+F10</f>
        <v>135.31</v>
      </c>
      <c r="J10" s="12">
        <v>24.947</v>
      </c>
      <c r="K10" s="246">
        <v>1</v>
      </c>
      <c r="L10" s="168"/>
      <c r="M10" s="255">
        <f>+E10</f>
        <v>26952</v>
      </c>
      <c r="N10" s="253">
        <f>+M10*1</f>
        <v>26952</v>
      </c>
      <c r="O10" s="252">
        <f>60*60*24</f>
        <v>86400</v>
      </c>
      <c r="P10" s="252">
        <f>+O10*N10</f>
        <v>2328652800</v>
      </c>
      <c r="Q10" s="252">
        <f>+P10/1000</f>
        <v>2328652.8</v>
      </c>
      <c r="R10" s="252"/>
    </row>
    <row r="11" spans="1:18" ht="15.75">
      <c r="A11" s="30"/>
      <c r="B11" s="4"/>
      <c r="C11" s="52">
        <f>+C10+1</f>
        <v>2</v>
      </c>
      <c r="D11" s="5" t="s">
        <v>5</v>
      </c>
      <c r="E11" s="14">
        <v>727</v>
      </c>
      <c r="F11" s="94">
        <v>0.108</v>
      </c>
      <c r="G11" s="53" t="s">
        <v>70</v>
      </c>
      <c r="H11" s="95">
        <v>1.059</v>
      </c>
      <c r="I11" s="95">
        <f>+H11+G11+F11</f>
        <v>1.167</v>
      </c>
      <c r="J11" s="95">
        <v>1.087</v>
      </c>
      <c r="K11" s="246">
        <v>1</v>
      </c>
      <c r="L11" s="168"/>
      <c r="M11" s="43">
        <f aca="true" t="shared" si="1" ref="M11:M20">+E11</f>
        <v>727</v>
      </c>
      <c r="N11" s="253">
        <f aca="true" t="shared" si="2" ref="N11:N20">1*3600</f>
        <v>3600</v>
      </c>
      <c r="O11" s="250"/>
      <c r="P11" s="250"/>
      <c r="Q11" s="250"/>
      <c r="R11" s="250"/>
    </row>
    <row r="12" spans="1:18" ht="15.75">
      <c r="A12" s="30">
        <v>2</v>
      </c>
      <c r="B12" s="7" t="s">
        <v>7</v>
      </c>
      <c r="C12" s="52">
        <f aca="true" t="shared" si="3" ref="C12:C20">+C11+1</f>
        <v>3</v>
      </c>
      <c r="D12" s="5" t="s">
        <v>65</v>
      </c>
      <c r="E12" s="14">
        <v>7642</v>
      </c>
      <c r="F12" s="77">
        <v>5.332</v>
      </c>
      <c r="G12" s="77">
        <v>7.527</v>
      </c>
      <c r="H12" s="77">
        <v>1.264</v>
      </c>
      <c r="I12" s="47">
        <f t="shared" si="0"/>
        <v>14.123000000000001</v>
      </c>
      <c r="J12" s="77">
        <v>8.791</v>
      </c>
      <c r="K12" s="246">
        <v>1</v>
      </c>
      <c r="L12" s="168"/>
      <c r="M12" s="43">
        <f t="shared" si="1"/>
        <v>7642</v>
      </c>
      <c r="N12" s="253">
        <f t="shared" si="2"/>
        <v>3600</v>
      </c>
      <c r="O12" s="250"/>
      <c r="P12" s="250"/>
      <c r="Q12" s="250"/>
      <c r="R12" s="250"/>
    </row>
    <row r="13" spans="1:18" ht="15.75">
      <c r="A13" s="30"/>
      <c r="B13" s="7"/>
      <c r="C13" s="52">
        <f t="shared" si="3"/>
        <v>4</v>
      </c>
      <c r="D13" s="5" t="s">
        <v>69</v>
      </c>
      <c r="E13" s="14">
        <v>415</v>
      </c>
      <c r="F13" s="47">
        <v>11.242</v>
      </c>
      <c r="G13" s="69">
        <v>0.624</v>
      </c>
      <c r="H13" s="69">
        <v>1.841</v>
      </c>
      <c r="I13" s="12">
        <f>+H13+G13+F13</f>
        <v>13.707</v>
      </c>
      <c r="J13" s="69">
        <v>0.624</v>
      </c>
      <c r="K13" s="247">
        <v>1</v>
      </c>
      <c r="L13" s="168"/>
      <c r="M13" s="43">
        <f t="shared" si="1"/>
        <v>415</v>
      </c>
      <c r="N13" s="253">
        <f t="shared" si="2"/>
        <v>3600</v>
      </c>
      <c r="O13" s="250"/>
      <c r="P13" s="250"/>
      <c r="Q13" s="250"/>
      <c r="R13" s="250"/>
    </row>
    <row r="14" spans="1:18" ht="15">
      <c r="A14" s="30">
        <v>3</v>
      </c>
      <c r="B14" s="7" t="s">
        <v>8</v>
      </c>
      <c r="C14" s="52">
        <f t="shared" si="3"/>
        <v>5</v>
      </c>
      <c r="D14" s="5" t="s">
        <v>66</v>
      </c>
      <c r="E14" s="14">
        <v>3517</v>
      </c>
      <c r="F14" s="77">
        <v>216.76</v>
      </c>
      <c r="G14" s="77" t="s">
        <v>70</v>
      </c>
      <c r="H14" s="77">
        <v>1.353</v>
      </c>
      <c r="I14" s="6">
        <f t="shared" si="0"/>
        <v>218.113</v>
      </c>
      <c r="J14" s="77">
        <v>3.98</v>
      </c>
      <c r="K14" s="247">
        <v>1</v>
      </c>
      <c r="L14" s="245" t="s">
        <v>195</v>
      </c>
      <c r="M14" s="43">
        <f t="shared" si="1"/>
        <v>3517</v>
      </c>
      <c r="N14" s="253">
        <f t="shared" si="2"/>
        <v>3600</v>
      </c>
      <c r="O14" s="250"/>
      <c r="P14" s="250"/>
      <c r="Q14" s="250"/>
      <c r="R14" s="250"/>
    </row>
    <row r="15" spans="1:18" ht="15">
      <c r="A15" s="30"/>
      <c r="B15" s="9"/>
      <c r="C15" s="52">
        <f t="shared" si="3"/>
        <v>6</v>
      </c>
      <c r="D15" s="5" t="s">
        <v>68</v>
      </c>
      <c r="E15" s="14">
        <v>500</v>
      </c>
      <c r="F15" s="47">
        <v>121.754</v>
      </c>
      <c r="G15" s="53" t="s">
        <v>70</v>
      </c>
      <c r="H15" s="53" t="s">
        <v>70</v>
      </c>
      <c r="I15" s="6">
        <f t="shared" si="0"/>
        <v>121.754</v>
      </c>
      <c r="J15" s="53">
        <v>0.446</v>
      </c>
      <c r="K15" s="247">
        <v>1</v>
      </c>
      <c r="L15" s="245" t="s">
        <v>195</v>
      </c>
      <c r="M15" s="43">
        <f t="shared" si="1"/>
        <v>500</v>
      </c>
      <c r="N15" s="253">
        <f t="shared" si="2"/>
        <v>3600</v>
      </c>
      <c r="O15" s="250"/>
      <c r="P15" s="250"/>
      <c r="Q15" s="250"/>
      <c r="R15" s="250"/>
    </row>
    <row r="16" spans="1:18" ht="15">
      <c r="A16" s="28"/>
      <c r="B16" s="5"/>
      <c r="C16" s="52">
        <f t="shared" si="3"/>
        <v>7</v>
      </c>
      <c r="D16" s="5" t="s">
        <v>85</v>
      </c>
      <c r="E16" s="14">
        <v>1176</v>
      </c>
      <c r="F16" s="77">
        <v>106.409</v>
      </c>
      <c r="G16" s="69" t="s">
        <v>70</v>
      </c>
      <c r="H16" s="69" t="s">
        <v>70</v>
      </c>
      <c r="I16" s="12">
        <f t="shared" si="0"/>
        <v>106.409</v>
      </c>
      <c r="J16" s="69">
        <v>1.046</v>
      </c>
      <c r="K16" s="247">
        <v>1</v>
      </c>
      <c r="L16" s="245" t="s">
        <v>195</v>
      </c>
      <c r="M16" s="43">
        <f t="shared" si="1"/>
        <v>1176</v>
      </c>
      <c r="N16" s="253">
        <f t="shared" si="2"/>
        <v>3600</v>
      </c>
      <c r="O16" s="250"/>
      <c r="P16" s="250"/>
      <c r="Q16" s="250"/>
      <c r="R16" s="250"/>
    </row>
    <row r="17" spans="1:18" ht="15">
      <c r="A17" s="28"/>
      <c r="B17" s="9"/>
      <c r="C17" s="52">
        <f t="shared" si="3"/>
        <v>8</v>
      </c>
      <c r="D17" s="10" t="s">
        <v>174</v>
      </c>
      <c r="E17" s="13">
        <v>1.521</v>
      </c>
      <c r="F17" s="77">
        <v>1.945</v>
      </c>
      <c r="G17" s="69" t="s">
        <v>70</v>
      </c>
      <c r="H17" s="69">
        <v>1.332</v>
      </c>
      <c r="I17" s="12">
        <f t="shared" si="0"/>
        <v>3.277</v>
      </c>
      <c r="J17" s="69">
        <v>1.665</v>
      </c>
      <c r="K17" s="247">
        <v>1</v>
      </c>
      <c r="L17" s="245" t="s">
        <v>195</v>
      </c>
      <c r="M17" s="43">
        <f t="shared" si="1"/>
        <v>1.521</v>
      </c>
      <c r="N17" s="253">
        <f t="shared" si="2"/>
        <v>3600</v>
      </c>
      <c r="O17" s="250"/>
      <c r="P17" s="250"/>
      <c r="Q17" s="250"/>
      <c r="R17" s="250"/>
    </row>
    <row r="18" spans="1:18" ht="15">
      <c r="A18" s="28"/>
      <c r="B18" s="9"/>
      <c r="C18" s="52">
        <f t="shared" si="3"/>
        <v>9</v>
      </c>
      <c r="D18" s="10" t="s">
        <v>175</v>
      </c>
      <c r="E18" s="13">
        <v>2.388</v>
      </c>
      <c r="F18" s="77">
        <v>54.681</v>
      </c>
      <c r="G18" s="69" t="s">
        <v>70</v>
      </c>
      <c r="H18" s="69">
        <v>1.945</v>
      </c>
      <c r="I18" s="12">
        <f>+H18+G18+F18</f>
        <v>56.626</v>
      </c>
      <c r="J18" s="69">
        <v>2.48</v>
      </c>
      <c r="K18" s="247">
        <v>1</v>
      </c>
      <c r="L18" s="245" t="s">
        <v>195</v>
      </c>
      <c r="M18" s="43">
        <f t="shared" si="1"/>
        <v>2.388</v>
      </c>
      <c r="N18" s="253">
        <f t="shared" si="2"/>
        <v>3600</v>
      </c>
      <c r="O18" s="250"/>
      <c r="P18" s="250"/>
      <c r="Q18" s="250"/>
      <c r="R18" s="250"/>
    </row>
    <row r="19" spans="1:18" ht="15">
      <c r="A19" s="28"/>
      <c r="B19" s="9"/>
      <c r="C19" s="52">
        <f t="shared" si="3"/>
        <v>10</v>
      </c>
      <c r="D19" s="10" t="s">
        <v>86</v>
      </c>
      <c r="E19" s="15">
        <v>1330</v>
      </c>
      <c r="F19" s="53">
        <v>44.452</v>
      </c>
      <c r="G19" s="53">
        <v>1.877</v>
      </c>
      <c r="H19" s="53" t="s">
        <v>70</v>
      </c>
      <c r="I19" s="6">
        <f>+H19+G19+F19</f>
        <v>46.329</v>
      </c>
      <c r="J19" s="53">
        <v>1.887</v>
      </c>
      <c r="K19" s="248">
        <v>1</v>
      </c>
      <c r="L19" s="245"/>
      <c r="M19" s="43">
        <f t="shared" si="1"/>
        <v>1330</v>
      </c>
      <c r="N19" s="253">
        <f t="shared" si="2"/>
        <v>3600</v>
      </c>
      <c r="O19" s="250"/>
      <c r="P19" s="250"/>
      <c r="Q19" s="250"/>
      <c r="R19" s="250"/>
    </row>
    <row r="20" spans="1:18" ht="15.75" thickBot="1">
      <c r="A20" s="28">
        <v>4</v>
      </c>
      <c r="B20" s="9" t="s">
        <v>9</v>
      </c>
      <c r="C20" s="52">
        <f t="shared" si="3"/>
        <v>11</v>
      </c>
      <c r="D20" s="10" t="s">
        <v>67</v>
      </c>
      <c r="E20" s="15">
        <v>3040</v>
      </c>
      <c r="F20" s="71">
        <v>40.88</v>
      </c>
      <c r="G20" s="69" t="s">
        <v>70</v>
      </c>
      <c r="H20" s="69" t="s">
        <v>70</v>
      </c>
      <c r="I20" s="70">
        <f>+H20+G20+F20</f>
        <v>40.88</v>
      </c>
      <c r="J20" s="231">
        <v>3.47</v>
      </c>
      <c r="K20" s="247">
        <v>1</v>
      </c>
      <c r="L20" s="245" t="s">
        <v>195</v>
      </c>
      <c r="M20" s="43">
        <f t="shared" si="1"/>
        <v>3040</v>
      </c>
      <c r="N20" s="253">
        <f t="shared" si="2"/>
        <v>3600</v>
      </c>
      <c r="O20" s="250"/>
      <c r="P20" s="250"/>
      <c r="Q20" s="250"/>
      <c r="R20" s="250"/>
    </row>
    <row r="21" spans="1:18" ht="18.75" thickBot="1">
      <c r="A21" s="60"/>
      <c r="B21" s="587" t="s">
        <v>133</v>
      </c>
      <c r="C21" s="588"/>
      <c r="D21" s="589"/>
      <c r="E21" s="62">
        <f aca="true" t="shared" si="4" ref="E21:J21">SUM(E10:E20)</f>
        <v>45302.909</v>
      </c>
      <c r="F21" s="61">
        <f t="shared" si="4"/>
        <v>713.9260000000002</v>
      </c>
      <c r="G21" s="61">
        <f t="shared" si="4"/>
        <v>34.975</v>
      </c>
      <c r="H21" s="61">
        <f t="shared" si="4"/>
        <v>8.793999999999999</v>
      </c>
      <c r="I21" s="61">
        <f t="shared" si="4"/>
        <v>757.6949999999999</v>
      </c>
      <c r="J21" s="61">
        <f t="shared" si="4"/>
        <v>50.422999999999995</v>
      </c>
      <c r="K21" s="185">
        <v>1</v>
      </c>
      <c r="L21" s="169"/>
      <c r="M21" s="254">
        <f>SUM(M10:M20)</f>
        <v>45302.909</v>
      </c>
      <c r="N21" s="81"/>
      <c r="O21" s="251"/>
      <c r="P21" s="251"/>
      <c r="Q21" s="251"/>
      <c r="R21" s="251"/>
    </row>
    <row r="22" spans="1:18" ht="24" thickBot="1" thickTop="1">
      <c r="A22" s="31" t="s">
        <v>75</v>
      </c>
      <c r="B22" s="592" t="s">
        <v>76</v>
      </c>
      <c r="C22" s="593"/>
      <c r="D22" s="593"/>
      <c r="E22" s="74"/>
      <c r="F22" s="598"/>
      <c r="G22" s="599"/>
      <c r="H22" s="599"/>
      <c r="I22" s="599"/>
      <c r="J22" s="599"/>
      <c r="K22" s="67"/>
      <c r="L22" s="169"/>
      <c r="M22" s="27"/>
      <c r="N22" s="81"/>
      <c r="O22" s="81"/>
      <c r="P22" s="81"/>
      <c r="Q22" s="81"/>
      <c r="R22" s="81"/>
    </row>
    <row r="23" spans="1:18" ht="18.75" thickTop="1">
      <c r="A23" s="38">
        <v>1</v>
      </c>
      <c r="B23" s="23" t="s">
        <v>9</v>
      </c>
      <c r="C23" s="16">
        <v>1</v>
      </c>
      <c r="D23" s="23" t="s">
        <v>87</v>
      </c>
      <c r="E23" s="24">
        <v>4353</v>
      </c>
      <c r="F23" s="53">
        <v>61.136</v>
      </c>
      <c r="G23" s="53">
        <v>2.944</v>
      </c>
      <c r="H23" s="53">
        <v>2.283</v>
      </c>
      <c r="I23" s="53">
        <f aca="true" t="shared" si="5" ref="I23:I34">+H23+G23+F23</f>
        <v>66.363</v>
      </c>
      <c r="J23" s="53">
        <v>5.227</v>
      </c>
      <c r="K23" s="232">
        <v>1</v>
      </c>
      <c r="L23" s="104"/>
      <c r="M23" s="88">
        <f>SUM(K23:K34)/18</f>
        <v>0.6111111111111112</v>
      </c>
      <c r="N23" s="81"/>
      <c r="O23" s="81"/>
      <c r="P23" s="81"/>
      <c r="Q23" s="81"/>
      <c r="R23" s="81"/>
    </row>
    <row r="24" spans="1:18" ht="18">
      <c r="A24" s="30">
        <f>+A23+1</f>
        <v>2</v>
      </c>
      <c r="B24" s="5" t="s">
        <v>10</v>
      </c>
      <c r="C24" s="8">
        <f>+C23+1</f>
        <v>2</v>
      </c>
      <c r="D24" s="5" t="s">
        <v>11</v>
      </c>
      <c r="E24" s="14">
        <v>8861</v>
      </c>
      <c r="F24" s="53">
        <v>40.663</v>
      </c>
      <c r="G24" s="53">
        <v>2.991</v>
      </c>
      <c r="H24" s="53">
        <v>4.762</v>
      </c>
      <c r="I24" s="53">
        <f t="shared" si="5"/>
        <v>48.416</v>
      </c>
      <c r="J24" s="53">
        <v>7.753</v>
      </c>
      <c r="K24" s="233">
        <v>1</v>
      </c>
      <c r="L24" s="104"/>
      <c r="M24" s="122"/>
      <c r="N24" s="81"/>
      <c r="O24" s="81"/>
      <c r="P24" s="81"/>
      <c r="Q24" s="81"/>
      <c r="R24" s="81"/>
    </row>
    <row r="25" spans="1:18" ht="18">
      <c r="A25" s="30"/>
      <c r="B25" s="5"/>
      <c r="C25" s="8">
        <f aca="true" t="shared" si="6" ref="C25:C34">+C24+1</f>
        <v>3</v>
      </c>
      <c r="D25" s="5" t="s">
        <v>88</v>
      </c>
      <c r="E25" s="14">
        <v>1108</v>
      </c>
      <c r="F25" s="53">
        <v>8.888</v>
      </c>
      <c r="G25" s="53">
        <v>0.789</v>
      </c>
      <c r="H25" s="53">
        <v>1.502</v>
      </c>
      <c r="I25" s="53">
        <f t="shared" si="5"/>
        <v>11.179</v>
      </c>
      <c r="J25" s="53">
        <v>2.291</v>
      </c>
      <c r="K25" s="233">
        <v>1</v>
      </c>
      <c r="L25" s="104"/>
      <c r="M25" s="27"/>
      <c r="N25" s="81"/>
      <c r="O25" s="81"/>
      <c r="P25" s="81"/>
      <c r="Q25" s="81"/>
      <c r="R25" s="81"/>
    </row>
    <row r="26" spans="1:18" ht="18">
      <c r="A26" s="30"/>
      <c r="B26" s="5"/>
      <c r="C26" s="8">
        <f t="shared" si="6"/>
        <v>4</v>
      </c>
      <c r="D26" s="5" t="s">
        <v>89</v>
      </c>
      <c r="E26" s="14">
        <v>2577</v>
      </c>
      <c r="F26" s="53">
        <v>8.305</v>
      </c>
      <c r="G26" s="53">
        <v>2.612</v>
      </c>
      <c r="H26" s="53">
        <v>0.217</v>
      </c>
      <c r="I26" s="53">
        <f t="shared" si="5"/>
        <v>11.134</v>
      </c>
      <c r="J26" s="53">
        <v>2.91</v>
      </c>
      <c r="K26" s="233">
        <v>1</v>
      </c>
      <c r="L26" s="104"/>
      <c r="M26" s="27"/>
      <c r="N26" s="81"/>
      <c r="O26" s="81"/>
      <c r="P26" s="81"/>
      <c r="Q26" s="81"/>
      <c r="R26" s="81"/>
    </row>
    <row r="27" spans="1:18" ht="18">
      <c r="A27" s="30">
        <v>3</v>
      </c>
      <c r="B27" s="5" t="s">
        <v>90</v>
      </c>
      <c r="C27" s="8">
        <f t="shared" si="6"/>
        <v>5</v>
      </c>
      <c r="D27" s="5" t="s">
        <v>147</v>
      </c>
      <c r="E27" s="14">
        <v>464</v>
      </c>
      <c r="F27" s="53">
        <v>4.158</v>
      </c>
      <c r="G27" s="53" t="s">
        <v>70</v>
      </c>
      <c r="H27" s="6">
        <v>0.422</v>
      </c>
      <c r="I27" s="6">
        <f t="shared" si="5"/>
        <v>4.58</v>
      </c>
      <c r="J27" s="6">
        <v>0.422</v>
      </c>
      <c r="K27" s="233">
        <v>1</v>
      </c>
      <c r="L27" s="169"/>
      <c r="M27" s="27"/>
      <c r="N27" s="81"/>
      <c r="O27" s="81"/>
      <c r="P27" s="81"/>
      <c r="Q27" s="81"/>
      <c r="R27" s="81"/>
    </row>
    <row r="28" spans="1:18" ht="18">
      <c r="A28" s="30"/>
      <c r="B28" s="5"/>
      <c r="C28" s="8">
        <f t="shared" si="6"/>
        <v>6</v>
      </c>
      <c r="D28" s="5" t="s">
        <v>91</v>
      </c>
      <c r="E28" s="14">
        <v>1325</v>
      </c>
      <c r="F28" s="53">
        <v>4</v>
      </c>
      <c r="G28" s="53">
        <v>0.997</v>
      </c>
      <c r="H28" s="53">
        <v>0.216</v>
      </c>
      <c r="I28" s="53">
        <f>+H28+G28+F28</f>
        <v>5.213</v>
      </c>
      <c r="J28" s="53">
        <v>1.208</v>
      </c>
      <c r="K28" s="234">
        <v>1</v>
      </c>
      <c r="L28" s="104"/>
      <c r="M28" s="27"/>
      <c r="N28" s="81"/>
      <c r="O28" s="81"/>
      <c r="P28" s="81"/>
      <c r="Q28" s="81"/>
      <c r="R28" s="81"/>
    </row>
    <row r="29" spans="1:18" ht="18">
      <c r="A29" s="30">
        <f>+A27+1</f>
        <v>4</v>
      </c>
      <c r="B29" s="5" t="s">
        <v>18</v>
      </c>
      <c r="C29" s="8">
        <f t="shared" si="6"/>
        <v>7</v>
      </c>
      <c r="D29" s="5" t="s">
        <v>92</v>
      </c>
      <c r="E29" s="14">
        <v>4053</v>
      </c>
      <c r="F29" s="53">
        <v>8.543</v>
      </c>
      <c r="G29" s="53" t="s">
        <v>70</v>
      </c>
      <c r="H29" s="53">
        <v>2.167</v>
      </c>
      <c r="I29" s="53">
        <f>+H29+G29+F29</f>
        <v>10.709999999999999</v>
      </c>
      <c r="J29" s="53">
        <v>2.5</v>
      </c>
      <c r="K29" s="234">
        <v>1</v>
      </c>
      <c r="L29" s="170"/>
      <c r="M29" s="27"/>
      <c r="N29" s="81"/>
      <c r="O29" s="81"/>
      <c r="P29" s="81"/>
      <c r="Q29" s="81"/>
      <c r="R29" s="81"/>
    </row>
    <row r="30" spans="1:18" ht="18">
      <c r="A30" s="30"/>
      <c r="B30" s="5"/>
      <c r="C30" s="8">
        <f t="shared" si="6"/>
        <v>8</v>
      </c>
      <c r="D30" s="5" t="s">
        <v>93</v>
      </c>
      <c r="E30" s="14">
        <v>18740</v>
      </c>
      <c r="F30" s="53">
        <v>35.477</v>
      </c>
      <c r="G30" s="6">
        <v>6.06</v>
      </c>
      <c r="H30" s="6">
        <v>5.812</v>
      </c>
      <c r="I30" s="6">
        <f t="shared" si="5"/>
        <v>47.349</v>
      </c>
      <c r="J30" s="6">
        <v>12.503</v>
      </c>
      <c r="K30" s="234">
        <v>1</v>
      </c>
      <c r="L30" s="169"/>
      <c r="M30" s="27"/>
      <c r="N30" s="81"/>
      <c r="O30" s="81"/>
      <c r="P30" s="81"/>
      <c r="Q30" s="81"/>
      <c r="R30" s="81"/>
    </row>
    <row r="31" spans="1:18" ht="18">
      <c r="A31" s="30">
        <f>+A29+1</f>
        <v>5</v>
      </c>
      <c r="B31" s="5" t="s">
        <v>12</v>
      </c>
      <c r="C31" s="8">
        <f t="shared" si="6"/>
        <v>9</v>
      </c>
      <c r="D31" s="5" t="s">
        <v>148</v>
      </c>
      <c r="E31" s="14">
        <v>2342</v>
      </c>
      <c r="F31" s="53" t="s">
        <v>70</v>
      </c>
      <c r="G31" s="6">
        <v>0.409</v>
      </c>
      <c r="H31" s="53" t="s">
        <v>70</v>
      </c>
      <c r="I31" s="6">
        <f t="shared" si="5"/>
        <v>0.409</v>
      </c>
      <c r="J31" s="6">
        <v>0.409</v>
      </c>
      <c r="K31" s="235">
        <v>1</v>
      </c>
      <c r="L31" s="169"/>
      <c r="M31" s="27"/>
      <c r="N31" s="81"/>
      <c r="O31" s="81"/>
      <c r="P31" s="81"/>
      <c r="Q31" s="81"/>
      <c r="R31" s="81"/>
    </row>
    <row r="32" spans="1:18" ht="18">
      <c r="A32" s="30"/>
      <c r="B32" s="5"/>
      <c r="C32" s="8">
        <f t="shared" si="6"/>
        <v>10</v>
      </c>
      <c r="D32" s="5" t="s">
        <v>157</v>
      </c>
      <c r="E32" s="6">
        <v>1.06</v>
      </c>
      <c r="F32" s="53" t="s">
        <v>70</v>
      </c>
      <c r="G32" s="53">
        <v>0.27</v>
      </c>
      <c r="H32" s="53" t="s">
        <v>70</v>
      </c>
      <c r="I32" s="6">
        <f t="shared" si="5"/>
        <v>0.27</v>
      </c>
      <c r="J32" s="53">
        <v>0.248</v>
      </c>
      <c r="K32" s="235">
        <v>1</v>
      </c>
      <c r="L32" s="104"/>
      <c r="M32" s="27"/>
      <c r="N32" s="81"/>
      <c r="O32" s="81"/>
      <c r="P32" s="81"/>
      <c r="Q32" s="81"/>
      <c r="R32" s="81"/>
    </row>
    <row r="33" spans="1:18" ht="15">
      <c r="A33" s="30">
        <f>+A31+1</f>
        <v>6</v>
      </c>
      <c r="B33" s="5" t="s">
        <v>14</v>
      </c>
      <c r="C33" s="8">
        <f t="shared" si="6"/>
        <v>11</v>
      </c>
      <c r="D33" s="5" t="s">
        <v>94</v>
      </c>
      <c r="E33" s="14">
        <v>1342</v>
      </c>
      <c r="F33" s="53" t="s">
        <v>70</v>
      </c>
      <c r="G33" s="53" t="s">
        <v>70</v>
      </c>
      <c r="H33" s="53" t="s">
        <v>70</v>
      </c>
      <c r="I33" s="53" t="s">
        <v>70</v>
      </c>
      <c r="J33" s="53" t="s">
        <v>70</v>
      </c>
      <c r="K33" s="237" t="s">
        <v>194</v>
      </c>
      <c r="L33" s="104"/>
      <c r="M33" s="27"/>
      <c r="N33" s="81"/>
      <c r="O33" s="81"/>
      <c r="P33" s="81"/>
      <c r="Q33" s="81"/>
      <c r="R33" s="81"/>
    </row>
    <row r="34" spans="1:18" ht="18.75" thickBot="1">
      <c r="A34" s="39"/>
      <c r="B34" s="41"/>
      <c r="C34" s="8">
        <f t="shared" si="6"/>
        <v>12</v>
      </c>
      <c r="D34" s="41" t="s">
        <v>155</v>
      </c>
      <c r="E34" s="75" t="s">
        <v>156</v>
      </c>
      <c r="F34" s="76">
        <v>18.137</v>
      </c>
      <c r="G34" s="53" t="s">
        <v>70</v>
      </c>
      <c r="H34" s="53">
        <v>1.66</v>
      </c>
      <c r="I34" s="53">
        <f t="shared" si="5"/>
        <v>19.797</v>
      </c>
      <c r="J34" s="53">
        <v>1.746</v>
      </c>
      <c r="K34" s="235">
        <v>1</v>
      </c>
      <c r="L34" s="49"/>
      <c r="M34" s="27"/>
      <c r="N34" s="81"/>
      <c r="O34" s="81"/>
      <c r="P34" s="81"/>
      <c r="Q34" s="81"/>
      <c r="R34" s="81"/>
    </row>
    <row r="35" spans="1:18" ht="18.75" thickBot="1">
      <c r="A35" s="60"/>
      <c r="B35" s="587" t="s">
        <v>134</v>
      </c>
      <c r="C35" s="588"/>
      <c r="D35" s="589"/>
      <c r="E35" s="62">
        <f aca="true" t="shared" si="7" ref="E35:J35">SUM(E23:E34)</f>
        <v>45166.06</v>
      </c>
      <c r="F35" s="61">
        <f t="shared" si="7"/>
        <v>189.30700000000002</v>
      </c>
      <c r="G35" s="61">
        <f t="shared" si="7"/>
        <v>17.072</v>
      </c>
      <c r="H35" s="61">
        <f t="shared" si="7"/>
        <v>19.041</v>
      </c>
      <c r="I35" s="61">
        <f t="shared" si="7"/>
        <v>225.42</v>
      </c>
      <c r="J35" s="61">
        <f t="shared" si="7"/>
        <v>37.217</v>
      </c>
      <c r="K35" s="236">
        <v>1</v>
      </c>
      <c r="L35" s="169"/>
      <c r="M35" s="27"/>
      <c r="N35" s="81"/>
      <c r="O35" s="81"/>
      <c r="P35" s="81"/>
      <c r="Q35" s="81"/>
      <c r="R35" s="81"/>
    </row>
    <row r="36" spans="1:18" ht="19.5" thickBot="1" thickTop="1">
      <c r="A36" s="26" t="s">
        <v>77</v>
      </c>
      <c r="B36" s="596" t="s">
        <v>78</v>
      </c>
      <c r="C36" s="597"/>
      <c r="D36" s="597"/>
      <c r="E36" s="21"/>
      <c r="F36" s="72"/>
      <c r="G36" s="19"/>
      <c r="H36" s="19"/>
      <c r="I36" s="19"/>
      <c r="J36" s="19"/>
      <c r="K36" s="67"/>
      <c r="L36" s="169"/>
      <c r="M36" s="27"/>
      <c r="N36" s="81"/>
      <c r="O36" s="81"/>
      <c r="P36" s="81"/>
      <c r="Q36" s="81"/>
      <c r="R36" s="81"/>
    </row>
    <row r="37" spans="1:18" ht="18.75" thickTop="1">
      <c r="A37" s="38">
        <v>1</v>
      </c>
      <c r="B37" s="4" t="s">
        <v>13</v>
      </c>
      <c r="C37" s="52">
        <v>1</v>
      </c>
      <c r="D37" s="11" t="s">
        <v>184</v>
      </c>
      <c r="E37" s="22">
        <v>1379</v>
      </c>
      <c r="F37" s="115">
        <v>1.027</v>
      </c>
      <c r="G37" s="115" t="s">
        <v>70</v>
      </c>
      <c r="H37" s="115" t="s">
        <v>70</v>
      </c>
      <c r="I37" s="115">
        <f>+H37+G37+F37</f>
        <v>1.027</v>
      </c>
      <c r="J37" s="115">
        <v>1.13</v>
      </c>
      <c r="K37" s="184">
        <f>+I37/J37</f>
        <v>0.9088495575221239</v>
      </c>
      <c r="L37" s="57"/>
      <c r="M37" s="88">
        <f>SUM(K37:K48)/12</f>
        <v>0.7451894835879912</v>
      </c>
      <c r="N37" s="81"/>
      <c r="O37" s="81"/>
      <c r="P37" s="81"/>
      <c r="Q37" s="81"/>
      <c r="R37" s="81"/>
    </row>
    <row r="38" spans="1:18" ht="18">
      <c r="A38" s="38"/>
      <c r="B38" s="4"/>
      <c r="C38" s="52">
        <f>+C37+1</f>
        <v>2</v>
      </c>
      <c r="D38" s="11" t="s">
        <v>151</v>
      </c>
      <c r="E38" s="22">
        <v>989</v>
      </c>
      <c r="F38" s="53">
        <v>2.87</v>
      </c>
      <c r="G38" s="53">
        <v>0.648</v>
      </c>
      <c r="H38" s="77" t="s">
        <v>70</v>
      </c>
      <c r="I38" s="6">
        <f>SUM(F38:H38)</f>
        <v>3.5180000000000002</v>
      </c>
      <c r="J38" s="53">
        <v>0.586</v>
      </c>
      <c r="K38" s="239">
        <v>1</v>
      </c>
      <c r="L38" s="105"/>
      <c r="M38" s="27"/>
      <c r="N38" s="81"/>
      <c r="O38" s="81"/>
      <c r="P38" s="81"/>
      <c r="Q38" s="81"/>
      <c r="R38" s="81"/>
    </row>
    <row r="39" spans="1:18" ht="18">
      <c r="A39" s="28">
        <f>+A37+1</f>
        <v>2</v>
      </c>
      <c r="B39" s="7" t="s">
        <v>14</v>
      </c>
      <c r="C39" s="52">
        <f aca="true" t="shared" si="8" ref="C39:C48">+C38+1</f>
        <v>3</v>
      </c>
      <c r="D39" s="5" t="s">
        <v>15</v>
      </c>
      <c r="E39" s="14">
        <v>5137</v>
      </c>
      <c r="F39" s="53">
        <v>1.305</v>
      </c>
      <c r="G39" s="53" t="s">
        <v>70</v>
      </c>
      <c r="H39" s="53" t="s">
        <v>70</v>
      </c>
      <c r="I39" s="53">
        <f>+H39+G39+F39</f>
        <v>1.305</v>
      </c>
      <c r="J39" s="53">
        <v>5.137</v>
      </c>
      <c r="K39" s="239">
        <f>+I39/J39</f>
        <v>0.2540393225618065</v>
      </c>
      <c r="L39" s="170"/>
      <c r="M39" s="143" t="s">
        <v>180</v>
      </c>
      <c r="N39" s="81"/>
      <c r="O39" s="81"/>
      <c r="P39" s="81"/>
      <c r="Q39" s="81"/>
      <c r="R39" s="81"/>
    </row>
    <row r="40" spans="1:18" ht="15">
      <c r="A40" s="28">
        <f>+A39+1</f>
        <v>3</v>
      </c>
      <c r="B40" s="7" t="s">
        <v>18</v>
      </c>
      <c r="C40" s="52">
        <f t="shared" si="8"/>
        <v>4</v>
      </c>
      <c r="D40" s="5" t="s">
        <v>19</v>
      </c>
      <c r="E40" s="14">
        <v>585</v>
      </c>
      <c r="F40" s="53" t="s">
        <v>70</v>
      </c>
      <c r="G40" s="53" t="s">
        <v>70</v>
      </c>
      <c r="H40" s="53" t="s">
        <v>70</v>
      </c>
      <c r="I40" s="53" t="s">
        <v>70</v>
      </c>
      <c r="J40" s="53" t="s">
        <v>70</v>
      </c>
      <c r="K40" s="237" t="s">
        <v>194</v>
      </c>
      <c r="L40" s="170"/>
      <c r="M40" s="27"/>
      <c r="N40" s="81"/>
      <c r="O40" s="81"/>
      <c r="P40" s="81"/>
      <c r="Q40" s="81"/>
      <c r="R40" s="81"/>
    </row>
    <row r="41" spans="1:18" ht="18">
      <c r="A41" s="28">
        <f>+A40+1</f>
        <v>4</v>
      </c>
      <c r="B41" s="7" t="s">
        <v>20</v>
      </c>
      <c r="C41" s="52">
        <f t="shared" si="8"/>
        <v>5</v>
      </c>
      <c r="D41" s="5" t="s">
        <v>21</v>
      </c>
      <c r="E41" s="14">
        <v>665</v>
      </c>
      <c r="F41" s="53">
        <v>0.35</v>
      </c>
      <c r="G41" s="53">
        <v>0.18</v>
      </c>
      <c r="H41" s="53">
        <v>0.133</v>
      </c>
      <c r="I41" s="53">
        <f>+H41+G41+F41</f>
        <v>0.663</v>
      </c>
      <c r="J41" s="53">
        <v>0.84</v>
      </c>
      <c r="K41" s="184">
        <f>+I41/J41</f>
        <v>0.7892857142857144</v>
      </c>
      <c r="L41" s="170"/>
      <c r="M41" s="27"/>
      <c r="N41" s="81"/>
      <c r="O41" s="81"/>
      <c r="P41" s="81"/>
      <c r="Q41" s="81"/>
      <c r="R41" s="81"/>
    </row>
    <row r="42" spans="1:18" ht="18">
      <c r="A42" s="28"/>
      <c r="B42" s="7"/>
      <c r="C42" s="52">
        <f t="shared" si="8"/>
        <v>6</v>
      </c>
      <c r="D42" s="5" t="s">
        <v>152</v>
      </c>
      <c r="E42" s="14">
        <v>1590</v>
      </c>
      <c r="F42" s="53">
        <v>0.095</v>
      </c>
      <c r="G42" s="53">
        <v>1.402</v>
      </c>
      <c r="H42" s="53" t="s">
        <v>70</v>
      </c>
      <c r="I42" s="53">
        <f>+H42+G42+F42</f>
        <v>1.4969999999999999</v>
      </c>
      <c r="J42" s="53">
        <v>1.987</v>
      </c>
      <c r="K42" s="239">
        <f>+I42/J42</f>
        <v>0.7533970810266732</v>
      </c>
      <c r="L42" s="170"/>
      <c r="M42" s="27"/>
      <c r="N42" s="81"/>
      <c r="O42" s="81"/>
      <c r="P42" s="81"/>
      <c r="Q42" s="81"/>
      <c r="R42" s="81"/>
    </row>
    <row r="43" spans="1:18" ht="18">
      <c r="A43" s="28">
        <f>+A41+1</f>
        <v>5</v>
      </c>
      <c r="B43" s="7" t="s">
        <v>22</v>
      </c>
      <c r="C43" s="52">
        <f t="shared" si="8"/>
        <v>7</v>
      </c>
      <c r="D43" s="5" t="s">
        <v>23</v>
      </c>
      <c r="E43" s="14">
        <v>779</v>
      </c>
      <c r="F43" s="53">
        <v>1.075</v>
      </c>
      <c r="G43" s="53">
        <v>0.61</v>
      </c>
      <c r="H43" s="53" t="s">
        <v>70</v>
      </c>
      <c r="I43" s="53">
        <f>+H43+G43+F43</f>
        <v>1.685</v>
      </c>
      <c r="J43" s="53">
        <v>0.974</v>
      </c>
      <c r="K43" s="238">
        <v>1</v>
      </c>
      <c r="L43" s="170"/>
      <c r="M43" s="27"/>
      <c r="N43" s="81"/>
      <c r="O43" s="81"/>
      <c r="P43" s="81"/>
      <c r="Q43" s="81"/>
      <c r="R43" s="81"/>
    </row>
    <row r="44" spans="1:18" ht="18">
      <c r="A44" s="28"/>
      <c r="B44" s="7"/>
      <c r="C44" s="52">
        <f t="shared" si="8"/>
        <v>8</v>
      </c>
      <c r="D44" s="5" t="s">
        <v>153</v>
      </c>
      <c r="E44" s="14">
        <v>1375</v>
      </c>
      <c r="F44" s="53">
        <v>1.212</v>
      </c>
      <c r="G44" s="53">
        <v>0.196</v>
      </c>
      <c r="H44" s="53">
        <v>0.052</v>
      </c>
      <c r="I44" s="53">
        <f>+H44+G44+F44</f>
        <v>1.46</v>
      </c>
      <c r="J44" s="53">
        <v>0.667</v>
      </c>
      <c r="K44" s="184">
        <v>1</v>
      </c>
      <c r="L44" s="171"/>
      <c r="M44" s="27"/>
      <c r="N44" s="81"/>
      <c r="O44" s="81"/>
      <c r="P44" s="81"/>
      <c r="Q44" s="81"/>
      <c r="R44" s="81"/>
    </row>
    <row r="45" spans="1:18" ht="18">
      <c r="A45" s="28">
        <f>+A43+1</f>
        <v>6</v>
      </c>
      <c r="B45" s="7" t="s">
        <v>24</v>
      </c>
      <c r="C45" s="52">
        <f t="shared" si="8"/>
        <v>9</v>
      </c>
      <c r="D45" s="5" t="s">
        <v>25</v>
      </c>
      <c r="E45" s="14">
        <v>2865</v>
      </c>
      <c r="F45" s="77">
        <v>2.925</v>
      </c>
      <c r="G45" s="53" t="s">
        <v>70</v>
      </c>
      <c r="H45" s="53">
        <f>+J45</f>
        <v>2.325</v>
      </c>
      <c r="I45" s="6">
        <f>SUM(F45:H45)</f>
        <v>5.25</v>
      </c>
      <c r="J45" s="6">
        <v>2.325</v>
      </c>
      <c r="K45" s="184">
        <v>1</v>
      </c>
      <c r="L45" s="172"/>
      <c r="M45" s="27"/>
      <c r="N45" s="81"/>
      <c r="O45" s="81"/>
      <c r="P45" s="81"/>
      <c r="Q45" s="81"/>
      <c r="R45" s="81"/>
    </row>
    <row r="46" spans="1:18" ht="18">
      <c r="A46" s="28"/>
      <c r="B46" s="9"/>
      <c r="C46" s="52">
        <f t="shared" si="8"/>
        <v>10</v>
      </c>
      <c r="D46" s="10" t="s">
        <v>154</v>
      </c>
      <c r="E46" s="14">
        <v>683</v>
      </c>
      <c r="F46" s="77">
        <v>1.435</v>
      </c>
      <c r="G46" s="77">
        <v>0.421</v>
      </c>
      <c r="H46" s="77" t="s">
        <v>70</v>
      </c>
      <c r="I46" s="77">
        <f>+H46+G46+F46</f>
        <v>1.856</v>
      </c>
      <c r="J46" s="77">
        <v>0.36</v>
      </c>
      <c r="K46" s="184">
        <v>1</v>
      </c>
      <c r="L46" s="57"/>
      <c r="M46" s="27"/>
      <c r="N46" s="81"/>
      <c r="O46" s="81"/>
      <c r="P46" s="81"/>
      <c r="Q46" s="81"/>
      <c r="R46" s="81"/>
    </row>
    <row r="47" spans="1:18" ht="18">
      <c r="A47" s="28">
        <v>7</v>
      </c>
      <c r="B47" s="9" t="s">
        <v>26</v>
      </c>
      <c r="C47" s="52">
        <f t="shared" si="8"/>
        <v>11</v>
      </c>
      <c r="D47" s="10" t="s">
        <v>27</v>
      </c>
      <c r="E47" s="15">
        <v>3760</v>
      </c>
      <c r="F47" s="53" t="s">
        <v>70</v>
      </c>
      <c r="G47" s="53">
        <v>0.445</v>
      </c>
      <c r="H47" s="53">
        <v>0.445</v>
      </c>
      <c r="I47" s="53">
        <f>+H47+G47+F47</f>
        <v>0.89</v>
      </c>
      <c r="J47" s="53">
        <v>3.76</v>
      </c>
      <c r="K47" s="240">
        <f>+I47/J47</f>
        <v>0.2367021276595745</v>
      </c>
      <c r="L47" s="170"/>
      <c r="M47" s="179"/>
      <c r="N47" s="81"/>
      <c r="O47" s="81"/>
      <c r="P47" s="81"/>
      <c r="Q47" s="81"/>
      <c r="R47" s="81"/>
    </row>
    <row r="48" spans="1:18" ht="18.75" thickBot="1">
      <c r="A48" s="39"/>
      <c r="B48" s="40"/>
      <c r="C48" s="52">
        <f t="shared" si="8"/>
        <v>12</v>
      </c>
      <c r="D48" s="41" t="s">
        <v>146</v>
      </c>
      <c r="E48" s="63">
        <v>1759</v>
      </c>
      <c r="F48" s="53">
        <v>0.45</v>
      </c>
      <c r="G48" s="53">
        <v>1.202</v>
      </c>
      <c r="H48" s="53">
        <v>0.214</v>
      </c>
      <c r="I48" s="53">
        <f>+F48+G48+H48</f>
        <v>1.8659999999999999</v>
      </c>
      <c r="J48" s="53">
        <v>1.759</v>
      </c>
      <c r="K48" s="184">
        <v>1</v>
      </c>
      <c r="L48" s="170"/>
      <c r="M48" s="27"/>
      <c r="N48" s="81"/>
      <c r="O48" s="81"/>
      <c r="P48" s="81"/>
      <c r="Q48" s="81"/>
      <c r="R48" s="81"/>
    </row>
    <row r="49" spans="1:18" ht="18.75" thickBot="1">
      <c r="A49" s="66"/>
      <c r="B49" s="587" t="s">
        <v>135</v>
      </c>
      <c r="C49" s="588"/>
      <c r="D49" s="589"/>
      <c r="E49" s="62">
        <f>SUM(E37:E48)</f>
        <v>21566</v>
      </c>
      <c r="F49" s="80">
        <f>SUM(F37:F48)</f>
        <v>12.743999999999998</v>
      </c>
      <c r="G49" s="61">
        <f>SUM(G37:G48)</f>
        <v>5.103999999999999</v>
      </c>
      <c r="H49" s="61">
        <f>SUM(H37:H48)</f>
        <v>3.169</v>
      </c>
      <c r="I49" s="61">
        <f>SUM(I37:I48)/12</f>
        <v>1.7514166666666668</v>
      </c>
      <c r="J49" s="61">
        <f>SUM(J37:J48)/12</f>
        <v>1.6270833333333332</v>
      </c>
      <c r="K49" s="186">
        <v>1</v>
      </c>
      <c r="L49" s="173"/>
      <c r="M49" s="27"/>
      <c r="N49" s="81"/>
      <c r="O49" s="81"/>
      <c r="P49" s="81"/>
      <c r="Q49" s="81"/>
      <c r="R49" s="81"/>
    </row>
    <row r="50" spans="5:12" ht="13.5" thickBot="1">
      <c r="E50" s="73"/>
      <c r="F50" s="73"/>
      <c r="G50" s="73"/>
      <c r="H50" s="73"/>
      <c r="I50" s="73"/>
      <c r="J50" s="73"/>
      <c r="K50" s="79"/>
      <c r="L50" s="79"/>
    </row>
    <row r="51" spans="2:12" ht="16.5" thickBot="1">
      <c r="B51" s="114"/>
      <c r="C51" s="113"/>
      <c r="D51" s="174" t="s">
        <v>186</v>
      </c>
      <c r="E51" s="178"/>
      <c r="F51" s="177" t="s">
        <v>190</v>
      </c>
      <c r="G51" s="175"/>
      <c r="H51" s="175"/>
      <c r="I51" s="175"/>
      <c r="J51" s="73"/>
      <c r="K51" s="73"/>
      <c r="L51" s="73"/>
    </row>
    <row r="52" spans="5:9" ht="16.5" thickBot="1">
      <c r="E52" s="111"/>
      <c r="F52" s="111"/>
      <c r="G52" s="176"/>
      <c r="H52" s="176"/>
      <c r="I52" s="176"/>
    </row>
    <row r="53" spans="5:9" ht="16.5" thickBot="1">
      <c r="E53" s="189"/>
      <c r="F53" s="177" t="s">
        <v>187</v>
      </c>
      <c r="G53" s="176"/>
      <c r="H53" s="176"/>
      <c r="I53" s="176"/>
    </row>
    <row r="54" spans="5:9" ht="16.5" thickBot="1">
      <c r="E54" s="111"/>
      <c r="F54" s="111"/>
      <c r="G54" s="176"/>
      <c r="H54" s="176"/>
      <c r="I54" s="176"/>
    </row>
    <row r="55" spans="5:9" ht="16.5" thickBot="1">
      <c r="E55" s="188"/>
      <c r="F55" s="177" t="s">
        <v>189</v>
      </c>
      <c r="G55" s="176"/>
      <c r="H55" s="176"/>
      <c r="I55" s="176"/>
    </row>
    <row r="56" spans="5:9" ht="16.5" thickBot="1">
      <c r="E56" s="111"/>
      <c r="F56" s="111"/>
      <c r="G56" s="176"/>
      <c r="H56" s="176"/>
      <c r="I56" s="176"/>
    </row>
    <row r="57" spans="5:9" ht="18.75" thickBot="1">
      <c r="E57" s="187"/>
      <c r="F57" s="177" t="s">
        <v>188</v>
      </c>
      <c r="G57" s="176"/>
      <c r="H57" s="176"/>
      <c r="I57" s="176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B9:D9"/>
    <mergeCell ref="B36:D36"/>
    <mergeCell ref="B49:D49"/>
    <mergeCell ref="B21:D21"/>
    <mergeCell ref="B22:D22"/>
    <mergeCell ref="F22:J22"/>
    <mergeCell ref="B35:D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userr</cp:lastModifiedBy>
  <cp:lastPrinted>2013-08-01T18:12:43Z</cp:lastPrinted>
  <dcterms:created xsi:type="dcterms:W3CDTF">2001-01-08T14:44:55Z</dcterms:created>
  <dcterms:modified xsi:type="dcterms:W3CDTF">2009-04-11T07:44:12Z</dcterms:modified>
  <cp:category/>
  <cp:version/>
  <cp:contentType/>
  <cp:contentStatus/>
</cp:coreProperties>
</file>