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"/>
    </mc:Choice>
  </mc:AlternateContent>
  <xr:revisionPtr revIDLastSave="0" documentId="8_{72D4A749-C31F-4538-AF30-1DAC6EFE0661}" xr6:coauthVersionLast="45" xr6:coauthVersionMax="45" xr10:uidLastSave="{00000000-0000-0000-0000-000000000000}"/>
  <bookViews>
    <workbookView xWindow="-120" yWindow="-120" windowWidth="20730" windowHeight="11310" xr2:uid="{5D93688B-424A-476B-BDC1-2ECBE376E9D5}"/>
  </bookViews>
  <sheets>
    <sheet name="Tembakau Total" sheetId="1" r:id="rId1"/>
  </sheets>
  <externalReferences>
    <externalReference r:id="rId2"/>
  </externalReferences>
  <definedNames>
    <definedName name="_xlnm._FilterDatabase" localSheetId="0" hidden="1">'Tembakau Total'!$K$8:$L$40</definedName>
    <definedName name="komoditi" localSheetId="0">#REF!</definedName>
    <definedName name="komoditi">#REF!</definedName>
    <definedName name="Z_3F279D1F_CFB3_4226_902F_136088D6AABE_.wvu.PrintArea" localSheetId="0">'Tembakau Total'!$A$1:$G$55</definedName>
    <definedName name="Z_BB0C7139_A5D5_4A54_9E2C_18390F57221E_.wvu.FilterData" localSheetId="0" hidden="1">'Tembakau Total'!$K$8:$L$40</definedName>
    <definedName name="Z_C549CA57_D6A8_473A_95EE_534EA55B482B_.wvu.FilterData" localSheetId="0" hidden="1">'Tembakau Total'!$K$8:$L$40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0" i="1" l="1"/>
  <c r="E40" i="1"/>
  <c r="F40" i="1" s="1"/>
  <c r="D40" i="1"/>
  <c r="C40" i="1"/>
  <c r="G39" i="1"/>
  <c r="E39" i="1"/>
  <c r="F39" i="1" s="1"/>
  <c r="D39" i="1"/>
  <c r="C39" i="1"/>
  <c r="G38" i="1"/>
  <c r="E38" i="1"/>
  <c r="F38" i="1" s="1"/>
  <c r="D38" i="1"/>
  <c r="C38" i="1"/>
  <c r="L37" i="1"/>
  <c r="K37" i="1"/>
  <c r="J37" i="1"/>
  <c r="I37" i="1"/>
  <c r="G37" i="1"/>
  <c r="E37" i="1"/>
  <c r="D37" i="1"/>
  <c r="F37" i="1" s="1"/>
  <c r="C37" i="1"/>
  <c r="L36" i="1"/>
  <c r="K36" i="1"/>
  <c r="J36" i="1"/>
  <c r="I36" i="1"/>
  <c r="G36" i="1"/>
  <c r="E36" i="1"/>
  <c r="F36" i="1" s="1"/>
  <c r="D36" i="1"/>
  <c r="C36" i="1"/>
  <c r="L35" i="1"/>
  <c r="K35" i="1"/>
  <c r="J35" i="1"/>
  <c r="I35" i="1"/>
  <c r="G35" i="1"/>
  <c r="E35" i="1"/>
  <c r="D35" i="1"/>
  <c r="F35" i="1" s="1"/>
  <c r="C35" i="1"/>
  <c r="L34" i="1"/>
  <c r="K34" i="1"/>
  <c r="J34" i="1"/>
  <c r="I34" i="1"/>
  <c r="G34" i="1"/>
  <c r="E34" i="1"/>
  <c r="F34" i="1" s="1"/>
  <c r="D34" i="1"/>
  <c r="C34" i="1"/>
  <c r="L33" i="1"/>
  <c r="K33" i="1"/>
  <c r="J33" i="1"/>
  <c r="I33" i="1"/>
  <c r="G33" i="1"/>
  <c r="E33" i="1"/>
  <c r="D33" i="1"/>
  <c r="F33" i="1" s="1"/>
  <c r="C33" i="1"/>
  <c r="L32" i="1"/>
  <c r="K32" i="1"/>
  <c r="J32" i="1"/>
  <c r="I32" i="1"/>
  <c r="G32" i="1"/>
  <c r="E32" i="1"/>
  <c r="F32" i="1" s="1"/>
  <c r="D32" i="1"/>
  <c r="C32" i="1"/>
  <c r="L31" i="1"/>
  <c r="K31" i="1"/>
  <c r="J31" i="1"/>
  <c r="I31" i="1"/>
  <c r="G31" i="1"/>
  <c r="E31" i="1"/>
  <c r="F31" i="1" s="1"/>
  <c r="D31" i="1"/>
  <c r="C31" i="1"/>
  <c r="L30" i="1"/>
  <c r="K30" i="1"/>
  <c r="J30" i="1"/>
  <c r="I30" i="1"/>
  <c r="G30" i="1"/>
  <c r="E30" i="1"/>
  <c r="F30" i="1" s="1"/>
  <c r="D30" i="1"/>
  <c r="C30" i="1"/>
  <c r="L29" i="1"/>
  <c r="K29" i="1"/>
  <c r="J29" i="1"/>
  <c r="I29" i="1"/>
  <c r="G29" i="1"/>
  <c r="E29" i="1"/>
  <c r="F29" i="1" s="1"/>
  <c r="D29" i="1"/>
  <c r="C29" i="1"/>
  <c r="L28" i="1"/>
  <c r="K28" i="1"/>
  <c r="J28" i="1"/>
  <c r="I28" i="1"/>
  <c r="G28" i="1"/>
  <c r="E28" i="1"/>
  <c r="F28" i="1" s="1"/>
  <c r="D28" i="1"/>
  <c r="C28" i="1"/>
  <c r="L27" i="1"/>
  <c r="K27" i="1"/>
  <c r="J27" i="1"/>
  <c r="I27" i="1"/>
  <c r="G27" i="1"/>
  <c r="E27" i="1"/>
  <c r="D27" i="1"/>
  <c r="F27" i="1" s="1"/>
  <c r="C27" i="1"/>
  <c r="L26" i="1"/>
  <c r="K26" i="1"/>
  <c r="J26" i="1"/>
  <c r="I26" i="1"/>
  <c r="G26" i="1"/>
  <c r="E26" i="1"/>
  <c r="F26" i="1" s="1"/>
  <c r="D26" i="1"/>
  <c r="C26" i="1"/>
  <c r="L25" i="1"/>
  <c r="K25" i="1"/>
  <c r="J25" i="1"/>
  <c r="I25" i="1"/>
  <c r="G25" i="1"/>
  <c r="E25" i="1"/>
  <c r="D25" i="1"/>
  <c r="F25" i="1" s="1"/>
  <c r="C25" i="1"/>
  <c r="L24" i="1"/>
  <c r="K24" i="1"/>
  <c r="J24" i="1"/>
  <c r="I24" i="1"/>
  <c r="G24" i="1"/>
  <c r="E24" i="1"/>
  <c r="F24" i="1" s="1"/>
  <c r="D24" i="1"/>
  <c r="C24" i="1"/>
  <c r="L23" i="1"/>
  <c r="K23" i="1"/>
  <c r="J23" i="1"/>
  <c r="I23" i="1"/>
  <c r="G23" i="1"/>
  <c r="E23" i="1"/>
  <c r="F23" i="1" s="1"/>
  <c r="D23" i="1"/>
  <c r="C23" i="1"/>
  <c r="L22" i="1"/>
  <c r="K22" i="1"/>
  <c r="J22" i="1"/>
  <c r="I22" i="1"/>
  <c r="G22" i="1"/>
  <c r="E22" i="1"/>
  <c r="F22" i="1" s="1"/>
  <c r="D22" i="1"/>
  <c r="C22" i="1"/>
  <c r="L21" i="1"/>
  <c r="K21" i="1"/>
  <c r="J21" i="1"/>
  <c r="I21" i="1"/>
  <c r="G21" i="1"/>
  <c r="E21" i="1"/>
  <c r="D21" i="1"/>
  <c r="F21" i="1" s="1"/>
  <c r="C21" i="1"/>
  <c r="L20" i="1"/>
  <c r="K20" i="1"/>
  <c r="J20" i="1"/>
  <c r="I20" i="1"/>
  <c r="G20" i="1"/>
  <c r="E20" i="1"/>
  <c r="F20" i="1" s="1"/>
  <c r="D20" i="1"/>
  <c r="C20" i="1"/>
  <c r="L19" i="1"/>
  <c r="K19" i="1"/>
  <c r="J19" i="1"/>
  <c r="I19" i="1"/>
  <c r="G19" i="1"/>
  <c r="E19" i="1"/>
  <c r="F19" i="1" s="1"/>
  <c r="D19" i="1"/>
  <c r="C19" i="1"/>
  <c r="L18" i="1"/>
  <c r="K18" i="1"/>
  <c r="J18" i="1"/>
  <c r="I18" i="1"/>
  <c r="G18" i="1"/>
  <c r="E18" i="1"/>
  <c r="F18" i="1" s="1"/>
  <c r="D18" i="1"/>
  <c r="C18" i="1"/>
  <c r="L17" i="1"/>
  <c r="K17" i="1"/>
  <c r="J17" i="1"/>
  <c r="I17" i="1"/>
  <c r="G17" i="1"/>
  <c r="E17" i="1"/>
  <c r="D17" i="1"/>
  <c r="F17" i="1" s="1"/>
  <c r="C17" i="1"/>
  <c r="L16" i="1"/>
  <c r="K16" i="1"/>
  <c r="J16" i="1"/>
  <c r="I16" i="1"/>
  <c r="G16" i="1"/>
  <c r="E16" i="1"/>
  <c r="F16" i="1" s="1"/>
  <c r="D16" i="1"/>
  <c r="C16" i="1"/>
  <c r="L15" i="1"/>
  <c r="K15" i="1"/>
  <c r="J15" i="1"/>
  <c r="I15" i="1"/>
  <c r="G15" i="1"/>
  <c r="E15" i="1"/>
  <c r="D15" i="1"/>
  <c r="F15" i="1" s="1"/>
  <c r="C15" i="1"/>
  <c r="L14" i="1"/>
  <c r="K14" i="1"/>
  <c r="J14" i="1"/>
  <c r="I14" i="1"/>
  <c r="G14" i="1"/>
  <c r="E14" i="1"/>
  <c r="F14" i="1" s="1"/>
  <c r="D14" i="1"/>
  <c r="C14" i="1"/>
  <c r="L13" i="1"/>
  <c r="K13" i="1"/>
  <c r="J13" i="1"/>
  <c r="I13" i="1"/>
  <c r="G13" i="1"/>
  <c r="E13" i="1"/>
  <c r="F13" i="1" s="1"/>
  <c r="D13" i="1"/>
  <c r="C13" i="1"/>
  <c r="L12" i="1"/>
  <c r="K12" i="1"/>
  <c r="J12" i="1"/>
  <c r="I12" i="1"/>
  <c r="G12" i="1"/>
  <c r="E12" i="1"/>
  <c r="F12" i="1" s="1"/>
  <c r="D12" i="1"/>
  <c r="C12" i="1"/>
  <c r="L11" i="1"/>
  <c r="K11" i="1"/>
  <c r="J11" i="1"/>
  <c r="I11" i="1"/>
  <c r="G11" i="1"/>
  <c r="E11" i="1"/>
  <c r="F11" i="1" s="1"/>
  <c r="D11" i="1"/>
  <c r="C11" i="1"/>
  <c r="L10" i="1"/>
  <c r="K10" i="1"/>
  <c r="J10" i="1"/>
  <c r="I10" i="1"/>
  <c r="G10" i="1"/>
  <c r="E10" i="1"/>
  <c r="F10" i="1" s="1"/>
  <c r="D10" i="1"/>
  <c r="C10" i="1"/>
  <c r="L9" i="1"/>
  <c r="K9" i="1"/>
  <c r="J9" i="1"/>
  <c r="I9" i="1"/>
  <c r="G9" i="1"/>
  <c r="G41" i="1" s="1"/>
  <c r="E9" i="1"/>
  <c r="E41" i="1" s="1"/>
  <c r="F41" i="1" s="1"/>
  <c r="D9" i="1"/>
  <c r="D41" i="1" s="1"/>
  <c r="C9" i="1"/>
  <c r="C41" i="1" s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C63" i="1" a="1"/>
  <c r="B63" i="1" a="1"/>
  <c r="C62" i="1" a="1"/>
  <c r="B62" i="1" a="1"/>
  <c r="B62" i="1" l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F9" i="1"/>
</calcChain>
</file>

<file path=xl/sharedStrings.xml><?xml version="1.0" encoding="utf-8"?>
<sst xmlns="http://schemas.openxmlformats.org/spreadsheetml/2006/main" count="72" uniqueCount="70">
  <si>
    <t>TABEL 19</t>
  </si>
  <si>
    <t>mas eko</t>
  </si>
  <si>
    <t>Tembakau Total</t>
  </si>
  <si>
    <t>LUAS AREAL, PRODUKSI DAN PRODUKTIVITAS PERKEBUNAN RAKYAT</t>
  </si>
  <si>
    <r>
      <rPr>
        <sz val="12"/>
        <color theme="1"/>
        <rFont val="Tahoma"/>
      </rPr>
      <t xml:space="preserve">KOMODITAS : </t>
    </r>
    <r>
      <rPr>
        <b/>
        <sz val="12"/>
        <color theme="1"/>
        <rFont val="Tahoma"/>
      </rPr>
      <t>TEMBAKAU</t>
    </r>
  </si>
  <si>
    <t>No.</t>
  </si>
  <si>
    <t xml:space="preserve"> Kabupaten / Kota</t>
  </si>
  <si>
    <t>Luas Areal</t>
  </si>
  <si>
    <t>Produksi</t>
  </si>
  <si>
    <t>Petani Pekebun (KK)</t>
  </si>
  <si>
    <t>BERDASARKAN TOTAL AREAL</t>
  </si>
  <si>
    <t>BERDASARKAN JUMLAH PRODUKSI</t>
  </si>
  <si>
    <t>Ditanam (Ha)</t>
  </si>
  <si>
    <t>Dipanen (Ha)</t>
  </si>
  <si>
    <t>Jumlah     (Ton)</t>
  </si>
  <si>
    <t>Rata-rata (Kg/Ha)</t>
  </si>
  <si>
    <t>KAB/KOTA</t>
  </si>
  <si>
    <t>PANEN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</si>
  <si>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</si>
  <si>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</si>
  <si>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</si>
  <si>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</si>
  <si>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</si>
  <si>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</si>
  <si>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</si>
  <si>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</si>
  <si>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</si>
  <si>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</si>
  <si>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</si>
  <si>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</si>
  <si>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</si>
  <si>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</si>
  <si>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</si>
  <si>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</si>
  <si>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</si>
  <si>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</si>
  <si>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</si>
  <si>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</si>
  <si>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</si>
  <si>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</si>
  <si>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</si>
  <si>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</si>
  <si>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</si>
  <si>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</si>
  <si>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</si>
  <si>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</si>
  <si>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</si>
  <si>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</si>
  <si>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</si>
  <si>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</si>
  <si>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</si>
  <si>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</si>
  <si>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</si>
  <si>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</si>
  <si>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</si>
  <si>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</si>
  <si>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</si>
  <si>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</si>
  <si>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</si>
  <si>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</si>
  <si>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</si>
  <si>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</si>
  <si>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</si>
  <si>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</si>
  <si>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</si>
  <si>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Wujud Produksi  :  Daun / krosok kering</t>
  </si>
  <si>
    <t>Penggabungan  Tembakau Rajang, Asepan, Garangan, Vorsteland,</t>
  </si>
  <si>
    <t>https://datawrapper.dwcdn.net/oIdL5/1/</t>
  </si>
  <si>
    <t>https://datawrapper.dwcdn.net/JP7W2/1/</t>
  </si>
  <si>
    <t>Tahun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</si>
</sst>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164" formatCode="_(* #,##0.00_);_(* \(#,##0.00\);_(* \-??_);_(@_)"/>
    <numFmt numFmtId="165" formatCode="_(* #,##0.0_);_(* \(#,##0.0\);_(* &quot;-&quot;_);_(@_)"/>
    <numFmt numFmtId="166" formatCode="_(* #,##0_);_(* \(#,##0\);_(* \-??_);_(@_)"/>
    <numFmt numFmtId="167" formatCode="_(* #,##0.00_);_(* \(#,##0.00\);_(* &quot;-&quot;_);_(@_)"/>
    <numFmt numFmtId="168" formatCode="_-* #,##0.00_-;\-* #,##0.00_-;_-* &quot;-&quot;??_-;_-@"/>
  </numFmts>
  <fonts count="23">
    <font>
      <sz val="10"/>
      <color rgb="FF000000"/>
      <name val="Calibri"/>
      <scheme val="minor"/>
    </font>
    <font>
      <sz val="12"/>
      <color theme="1"/>
      <name val="Tahoma"/>
    </font>
    <font>
      <sz val="10"/>
      <name val="Calibri"/>
    </font>
    <font>
      <sz val="10"/>
      <color theme="0"/>
      <name val="Arial"/>
    </font>
    <font>
      <sz val="10"/>
      <color theme="1"/>
      <name val="Arial"/>
    </font>
    <font>
      <sz val="11"/>
      <color rgb="FF000000"/>
      <name val="Inconsolata"/>
    </font>
    <font>
      <sz val="10"/>
      <color rgb="FFFF0000"/>
      <name val="Arial"/>
    </font>
    <font>
      <b/>
      <sz val="12"/>
      <color theme="1"/>
      <name val="Tahoma"/>
    </font>
    <font>
      <sz val="11"/>
      <color theme="1"/>
      <name val="Tahoma"/>
    </font>
    <font>
      <sz val="12"/>
      <color theme="1"/>
      <name val="Arial"/>
    </font>
    <font>
      <sz val="11"/>
      <color theme="1"/>
      <name val="Arial"/>
    </font>
    <font>
      <i/>
      <sz val="10"/>
      <color rgb="FFFF0000"/>
      <name val="Arial"/>
    </font>
    <font>
      <i/>
      <sz val="10"/>
      <color theme="1"/>
      <name val="Arial"/>
    </font>
    <font>
      <i/>
      <sz val="11"/>
      <color theme="1"/>
      <name val="Tahoma"/>
    </font>
    <font>
      <i/>
      <sz val="10"/>
      <color theme="1"/>
      <name val="Tahoma"/>
    </font>
    <font>
      <b/>
      <sz val="9"/>
      <color theme="1"/>
      <name val="Arial"/>
    </font>
    <font>
      <u/>
      <sz val="10"/>
      <color theme="1"/>
      <name val="Arial"/>
    </font>
    <font>
      <u/>
      <sz val="11"/>
      <color theme="1"/>
      <name val="Tahoma"/>
    </font>
    <font>
      <sz val="8"/>
      <color theme="1"/>
      <name val="Arial"/>
    </font>
    <font>
      <sz val="10"/>
      <color theme="1"/>
      <name val="Calibri"/>
    </font>
    <font>
      <sz val="11"/>
      <color rgb="FFFF0000"/>
      <name val="Tahoma"/>
    </font>
    <font>
      <b/>
      <sz val="8"/>
      <color theme="1"/>
      <name val="Arial"/>
    </font>
    <font>
      <sz val="10"/>
      <color theme="1"/>
      <name val="Tahoma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3" borderId="0" xfId="0" applyFont="1" applyFill="1"/>
    <xf numFmtId="0" fontId="5" fillId="3" borderId="0" xfId="0" applyFont="1" applyFill="1"/>
    <xf numFmtId="0" fontId="1" fillId="3" borderId="0" xfId="0" applyFont="1" applyFill="1" applyAlignment="1">
      <alignment horizontal="center" vertical="center"/>
    </xf>
    <xf numFmtId="0" fontId="6" fillId="3" borderId="0" xfId="0" applyFont="1" applyFill="1"/>
    <xf numFmtId="0" fontId="1" fillId="3" borderId="0" xfId="0" applyFont="1" applyFill="1" applyAlignment="1">
      <alignment horizontal="center"/>
    </xf>
    <xf numFmtId="164" fontId="1" fillId="3" borderId="0" xfId="0" applyNumberFormat="1" applyFont="1" applyFill="1" applyAlignment="1">
      <alignment horizontal="center"/>
    </xf>
    <xf numFmtId="41" fontId="8" fillId="3" borderId="0" xfId="0" applyNumberFormat="1" applyFont="1" applyFill="1" applyAlignment="1">
      <alignment vertical="center"/>
    </xf>
    <xf numFmtId="0" fontId="8" fillId="3" borderId="1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41" fontId="8" fillId="3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8" fillId="3" borderId="4" xfId="0" applyFont="1" applyFill="1" applyBorder="1" applyAlignment="1">
      <alignment horizontal="center" vertical="center"/>
    </xf>
    <xf numFmtId="164" fontId="8" fillId="3" borderId="6" xfId="0" applyNumberFormat="1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41" fontId="4" fillId="3" borderId="0" xfId="0" applyNumberFormat="1" applyFont="1" applyFill="1" applyAlignment="1">
      <alignment horizontal="right" vertical="center"/>
    </xf>
    <xf numFmtId="165" fontId="4" fillId="3" borderId="0" xfId="0" applyNumberFormat="1" applyFont="1" applyFill="1" applyAlignment="1">
      <alignment horizontal="right" vertical="center"/>
    </xf>
    <xf numFmtId="0" fontId="8" fillId="3" borderId="9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left" vertical="center"/>
    </xf>
    <xf numFmtId="164" fontId="8" fillId="3" borderId="9" xfId="0" applyNumberFormat="1" applyFont="1" applyFill="1" applyBorder="1" applyAlignment="1">
      <alignment vertical="center"/>
    </xf>
    <xf numFmtId="166" fontId="8" fillId="3" borderId="9" xfId="0" applyNumberFormat="1" applyFont="1" applyFill="1" applyBorder="1" applyAlignment="1">
      <alignment vertical="center"/>
    </xf>
    <xf numFmtId="164" fontId="10" fillId="3" borderId="9" xfId="0" applyNumberFormat="1" applyFont="1" applyFill="1" applyBorder="1" applyAlignment="1">
      <alignment vertical="center"/>
    </xf>
    <xf numFmtId="0" fontId="8" fillId="3" borderId="11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164" fontId="8" fillId="3" borderId="11" xfId="0" applyNumberFormat="1" applyFont="1" applyFill="1" applyBorder="1" applyAlignment="1">
      <alignment vertical="center"/>
    </xf>
    <xf numFmtId="166" fontId="8" fillId="3" borderId="11" xfId="0" applyNumberFormat="1" applyFont="1" applyFill="1" applyBorder="1" applyAlignment="1">
      <alignment vertical="center"/>
    </xf>
    <xf numFmtId="0" fontId="8" fillId="0" borderId="13" xfId="0" applyFont="1" applyBorder="1" applyAlignment="1">
      <alignment horizontal="left" vertical="center"/>
    </xf>
    <xf numFmtId="164" fontId="8" fillId="3" borderId="14" xfId="0" applyNumberFormat="1" applyFont="1" applyFill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164" fontId="8" fillId="0" borderId="6" xfId="0" applyNumberFormat="1" applyFont="1" applyBorder="1" applyAlignment="1">
      <alignment vertical="center"/>
    </xf>
    <xf numFmtId="166" fontId="8" fillId="0" borderId="15" xfId="0" applyNumberFormat="1" applyFont="1" applyBorder="1" applyAlignment="1">
      <alignment vertical="center"/>
    </xf>
    <xf numFmtId="41" fontId="8" fillId="0" borderId="6" xfId="0" applyNumberFormat="1" applyFont="1" applyBorder="1" applyAlignment="1">
      <alignment vertical="center"/>
    </xf>
    <xf numFmtId="0" fontId="6" fillId="3" borderId="0" xfId="0" applyFont="1" applyFill="1" applyAlignment="1">
      <alignment horizontal="center" vertical="center"/>
    </xf>
    <xf numFmtId="3" fontId="4" fillId="3" borderId="0" xfId="0" applyNumberFormat="1" applyFont="1" applyFill="1" applyAlignment="1">
      <alignment horizontal="center" vertical="center"/>
    </xf>
    <xf numFmtId="167" fontId="4" fillId="3" borderId="0" xfId="0" applyNumberFormat="1" applyFont="1" applyFill="1" applyAlignment="1">
      <alignment horizontal="right" vertical="center"/>
    </xf>
    <xf numFmtId="0" fontId="9" fillId="3" borderId="0" xfId="0" applyFont="1" applyFill="1" applyAlignment="1">
      <alignment vertical="center"/>
    </xf>
    <xf numFmtId="0" fontId="11" fillId="3" borderId="0" xfId="0" applyFont="1" applyFill="1"/>
    <xf numFmtId="0" fontId="12" fillId="3" borderId="0" xfId="0" applyFont="1" applyFill="1"/>
    <xf numFmtId="0" fontId="13" fillId="3" borderId="0" xfId="0" applyFont="1" applyFill="1"/>
    <xf numFmtId="0" fontId="14" fillId="3" borderId="0" xfId="0" applyFont="1" applyFill="1"/>
    <xf numFmtId="164" fontId="13" fillId="3" borderId="0" xfId="0" applyNumberFormat="1" applyFont="1" applyFill="1"/>
    <xf numFmtId="0" fontId="8" fillId="3" borderId="0" xfId="0" applyFont="1" applyFill="1"/>
    <xf numFmtId="164" fontId="4" fillId="3" borderId="6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/>
    </xf>
    <xf numFmtId="0" fontId="12" fillId="3" borderId="0" xfId="0" applyFont="1" applyFill="1" applyAlignment="1">
      <alignment horizontal="left"/>
    </xf>
    <xf numFmtId="166" fontId="4" fillId="3" borderId="0" xfId="0" applyNumberFormat="1" applyFont="1" applyFill="1"/>
    <xf numFmtId="164" fontId="4" fillId="3" borderId="0" xfId="0" applyNumberFormat="1" applyFont="1" applyFill="1"/>
    <xf numFmtId="168" fontId="8" fillId="3" borderId="0" xfId="0" applyNumberFormat="1" applyFont="1" applyFill="1"/>
    <xf numFmtId="166" fontId="16" fillId="3" borderId="0" xfId="0" applyNumberFormat="1" applyFont="1" applyFill="1"/>
    <xf numFmtId="0" fontId="17" fillId="3" borderId="0" xfId="0" applyFont="1" applyFill="1"/>
    <xf numFmtId="0" fontId="4" fillId="3" borderId="0" xfId="0" applyFont="1" applyFill="1" applyAlignment="1">
      <alignment horizontal="right"/>
    </xf>
    <xf numFmtId="0" fontId="8" fillId="3" borderId="0" xfId="0" applyFont="1" applyFill="1" applyAlignment="1">
      <alignment horizontal="center" vertical="center" shrinkToFit="1"/>
    </xf>
    <xf numFmtId="0" fontId="8" fillId="3" borderId="0" xfId="0" applyFont="1" applyFill="1" applyAlignment="1">
      <alignment horizontal="center" vertical="center" shrinkToFit="1"/>
    </xf>
    <xf numFmtId="0" fontId="8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164" fontId="18" fillId="3" borderId="0" xfId="0" applyNumberFormat="1" applyFont="1" applyFill="1" applyAlignment="1">
      <alignment horizontal="center"/>
    </xf>
    <xf numFmtId="41" fontId="8" fillId="3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19" fillId="0" borderId="0" xfId="0" applyFont="1"/>
    <xf numFmtId="0" fontId="8" fillId="3" borderId="0" xfId="0" applyFont="1" applyFill="1" applyAlignment="1">
      <alignment horizontal="center"/>
    </xf>
    <xf numFmtId="164" fontId="8" fillId="3" borderId="0" xfId="0" applyNumberFormat="1" applyFont="1" applyFill="1"/>
    <xf numFmtId="166" fontId="8" fillId="3" borderId="0" xfId="0" applyNumberFormat="1" applyFont="1" applyFill="1"/>
    <xf numFmtId="166" fontId="20" fillId="3" borderId="0" xfId="0" applyNumberFormat="1" applyFont="1" applyFill="1"/>
    <xf numFmtId="164" fontId="20" fillId="3" borderId="0" xfId="0" applyNumberFormat="1" applyFont="1" applyFill="1"/>
    <xf numFmtId="0" fontId="4" fillId="3" borderId="0" xfId="0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21" fillId="3" borderId="0" xfId="0" applyFont="1" applyFill="1"/>
    <xf numFmtId="167" fontId="21" fillId="3" borderId="0" xfId="0" applyNumberFormat="1" applyFont="1" applyFill="1" applyAlignment="1">
      <alignment horizontal="right"/>
    </xf>
    <xf numFmtId="164" fontId="21" fillId="3" borderId="0" xfId="0" applyNumberFormat="1" applyFont="1" applyFill="1" applyAlignment="1">
      <alignment horizontal="right"/>
    </xf>
    <xf numFmtId="41" fontId="8" fillId="3" borderId="0" xfId="0" applyNumberFormat="1" applyFont="1" applyFill="1" applyAlignment="1">
      <alignment horizontal="right" vertical="center"/>
    </xf>
    <xf numFmtId="0" fontId="22" fillId="3" borderId="0" xfId="0" applyFont="1" applyFill="1"/>
    <xf numFmtId="164" fontId="22" fillId="3" borderId="0" xfId="0" applyNumberFormat="1" applyFont="1" applyFill="1"/>
    <xf numFmtId="0" fontId="9" fillId="3" borderId="0" xfId="0" applyFont="1" applyFill="1"/>
    <xf numFmtId="164" fontId="9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Tembakau Vorstenland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133891213389121"/>
          <c:y val="0.16610169491525423"/>
          <c:w val="0.83891213389121344"/>
          <c:h val="0.52542372881355937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'Tembakau Total'!$I$9:$I$40</c:f>
              <c:strCache>
                <c:ptCount val="29"/>
                <c:pt idx="0">
                  <c:v>Kab. Temanggung</c:v>
                </c:pt>
                <c:pt idx="1">
                  <c:v>Kab. Rembang</c:v>
                </c:pt>
                <c:pt idx="2">
                  <c:v>Kab. Kendal</c:v>
                </c:pt>
                <c:pt idx="3">
                  <c:v>Kab. Grobogan</c:v>
                </c:pt>
                <c:pt idx="4">
                  <c:v>Kab. Boyolali</c:v>
                </c:pt>
                <c:pt idx="5">
                  <c:v>Kab. Magelang</c:v>
                </c:pt>
                <c:pt idx="6">
                  <c:v>Kab. Blora</c:v>
                </c:pt>
                <c:pt idx="7">
                  <c:v>Kab. Demak</c:v>
                </c:pt>
                <c:pt idx="8">
                  <c:v>Kab. Wonosobo</c:v>
                </c:pt>
                <c:pt idx="9">
                  <c:v>Kab. Wonogiri</c:v>
                </c:pt>
                <c:pt idx="10">
                  <c:v>Kab. Klaten</c:v>
                </c:pt>
                <c:pt idx="11">
                  <c:v>Kab. Pati</c:v>
                </c:pt>
                <c:pt idx="12">
                  <c:v>Kab. Kebumen</c:v>
                </c:pt>
                <c:pt idx="13">
                  <c:v>Kab. Semarang</c:v>
                </c:pt>
                <c:pt idx="14">
                  <c:v>Kab. Banjarnegara</c:v>
                </c:pt>
                <c:pt idx="15">
                  <c:v>Kab. Pemalang</c:v>
                </c:pt>
                <c:pt idx="16">
                  <c:v>Kab. Purworejo</c:v>
                </c:pt>
                <c:pt idx="17">
                  <c:v>Kab. Batang</c:v>
                </c:pt>
                <c:pt idx="18">
                  <c:v>Kab. Karanganyar</c:v>
                </c:pt>
                <c:pt idx="19">
                  <c:v>Kab. Sragen</c:v>
                </c:pt>
                <c:pt idx="20">
                  <c:v>Kab. Sukoharjo</c:v>
                </c:pt>
                <c:pt idx="21">
                  <c:v>Kab. Tegal</c:v>
                </c:pt>
                <c:pt idx="22">
                  <c:v>Kab. Banyumas</c:v>
                </c:pt>
                <c:pt idx="23">
                  <c:v>Kab. Cilacap</c:v>
                </c:pt>
                <c:pt idx="24">
                  <c:v>Kab. Pekalongan</c:v>
                </c:pt>
                <c:pt idx="25">
                  <c:v>Kab. Purbalingga</c:v>
                </c:pt>
                <c:pt idx="26">
                  <c:v>Kab. Kudus</c:v>
                </c:pt>
                <c:pt idx="27">
                  <c:v>Kab. Jepara</c:v>
                </c:pt>
                <c:pt idx="28">
                  <c:v>Kab. Brebes</c:v>
                </c:pt>
              </c:strCache>
            </c:strRef>
          </c:cat>
          <c:val>
            <c:numRef>
              <c:f>'Tembakau Total'!$J$9:$J$40</c:f>
              <c:numCache>
                <c:formatCode>_(* #,##0.00_);_(* \(#,##0.00\);_(* \-??_);_(@_)</c:formatCode>
                <c:ptCount val="32"/>
                <c:pt idx="0">
                  <c:v>14094.42</c:v>
                </c:pt>
                <c:pt idx="1">
                  <c:v>7318</c:v>
                </c:pt>
                <c:pt idx="2">
                  <c:v>4378.95</c:v>
                </c:pt>
                <c:pt idx="3">
                  <c:v>4325.95</c:v>
                </c:pt>
                <c:pt idx="4">
                  <c:v>4270</c:v>
                </c:pt>
                <c:pt idx="5">
                  <c:v>3251</c:v>
                </c:pt>
                <c:pt idx="6">
                  <c:v>2800.3</c:v>
                </c:pt>
                <c:pt idx="7">
                  <c:v>2962</c:v>
                </c:pt>
                <c:pt idx="8">
                  <c:v>2829.7799999999902</c:v>
                </c:pt>
                <c:pt idx="9">
                  <c:v>2219</c:v>
                </c:pt>
                <c:pt idx="10">
                  <c:v>1388.87</c:v>
                </c:pt>
                <c:pt idx="11">
                  <c:v>917.8</c:v>
                </c:pt>
                <c:pt idx="12">
                  <c:v>918.45</c:v>
                </c:pt>
                <c:pt idx="13">
                  <c:v>668.2</c:v>
                </c:pt>
                <c:pt idx="14">
                  <c:v>491</c:v>
                </c:pt>
                <c:pt idx="15">
                  <c:v>388.17</c:v>
                </c:pt>
                <c:pt idx="16">
                  <c:v>311.44</c:v>
                </c:pt>
                <c:pt idx="17">
                  <c:v>265</c:v>
                </c:pt>
                <c:pt idx="18">
                  <c:v>262.2</c:v>
                </c:pt>
                <c:pt idx="19">
                  <c:v>248.9</c:v>
                </c:pt>
                <c:pt idx="20">
                  <c:v>120</c:v>
                </c:pt>
                <c:pt idx="21">
                  <c:v>115.37</c:v>
                </c:pt>
                <c:pt idx="22">
                  <c:v>106.96</c:v>
                </c:pt>
                <c:pt idx="23">
                  <c:v>40.28</c:v>
                </c:pt>
                <c:pt idx="24">
                  <c:v>55</c:v>
                </c:pt>
                <c:pt idx="25">
                  <c:v>35.82</c:v>
                </c:pt>
                <c:pt idx="26">
                  <c:v>12.2</c:v>
                </c:pt>
                <c:pt idx="27">
                  <c:v>3.5</c:v>
                </c:pt>
                <c:pt idx="28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DE7-4208-8B6E-AD7679E1A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5915168"/>
        <c:axId val="865161352"/>
      </c:barChart>
      <c:catAx>
        <c:axId val="1855915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865161352"/>
        <c:crosses val="autoZero"/>
        <c:auto val="1"/>
        <c:lblAlgn val="ctr"/>
        <c:lblOffset val="100"/>
        <c:noMultiLvlLbl val="1"/>
      </c:catAx>
      <c:valAx>
        <c:axId val="86516135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85591516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Tembakau Vorstenland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058212058212059"/>
          <c:y val="0.16610169491525423"/>
          <c:w val="0.83991683991683996"/>
          <c:h val="0.52542372881355937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'Tembakau Total'!$K$9:$K$40</c:f>
              <c:strCache>
                <c:ptCount val="29"/>
                <c:pt idx="0">
                  <c:v>Kab. Rembang</c:v>
                </c:pt>
                <c:pt idx="1">
                  <c:v>Kab. Temanggung</c:v>
                </c:pt>
                <c:pt idx="2">
                  <c:v>Kab. Grobogan</c:v>
                </c:pt>
                <c:pt idx="3">
                  <c:v>Kab. Kendal</c:v>
                </c:pt>
                <c:pt idx="4">
                  <c:v>Kab. Boyolali</c:v>
                </c:pt>
                <c:pt idx="5">
                  <c:v>Kab. Blora</c:v>
                </c:pt>
                <c:pt idx="6">
                  <c:v>Kab. Demak</c:v>
                </c:pt>
                <c:pt idx="7">
                  <c:v>Kab. Wonogiri</c:v>
                </c:pt>
                <c:pt idx="8">
                  <c:v>Kab. Klaten</c:v>
                </c:pt>
                <c:pt idx="9">
                  <c:v>Kab. Magelang</c:v>
                </c:pt>
                <c:pt idx="10">
                  <c:v>Kab. Wonosobo</c:v>
                </c:pt>
                <c:pt idx="11">
                  <c:v>Kab. Pati</c:v>
                </c:pt>
                <c:pt idx="12">
                  <c:v>Kab. Kebumen</c:v>
                </c:pt>
                <c:pt idx="13">
                  <c:v>Kab. Semarang</c:v>
                </c:pt>
                <c:pt idx="14">
                  <c:v>Kab. Sragen</c:v>
                </c:pt>
                <c:pt idx="15">
                  <c:v>Kab. Pemalang</c:v>
                </c:pt>
                <c:pt idx="16">
                  <c:v>Kab. Banjarnegara</c:v>
                </c:pt>
                <c:pt idx="17">
                  <c:v>Kab. Purworejo</c:v>
                </c:pt>
                <c:pt idx="18">
                  <c:v>Kab. Sukoharjo</c:v>
                </c:pt>
                <c:pt idx="19">
                  <c:v>Kab. Batang</c:v>
                </c:pt>
                <c:pt idx="20">
                  <c:v>Kab. Karanganyar</c:v>
                </c:pt>
                <c:pt idx="21">
                  <c:v>Kab. Tegal</c:v>
                </c:pt>
                <c:pt idx="22">
                  <c:v>Kab. Banyumas</c:v>
                </c:pt>
                <c:pt idx="23">
                  <c:v>Kab. Cilacap</c:v>
                </c:pt>
                <c:pt idx="24">
                  <c:v>Kab. Pekalongan</c:v>
                </c:pt>
                <c:pt idx="25">
                  <c:v>Kab. Kudus</c:v>
                </c:pt>
                <c:pt idx="26">
                  <c:v>Kab. Purbalingga</c:v>
                </c:pt>
                <c:pt idx="27">
                  <c:v>Kab. Jepara</c:v>
                </c:pt>
                <c:pt idx="28">
                  <c:v>Kab. Brebes</c:v>
                </c:pt>
              </c:strCache>
            </c:strRef>
          </c:cat>
          <c:val>
            <c:numRef>
              <c:f>'Tembakau Total'!$L$9:$L$40</c:f>
              <c:numCache>
                <c:formatCode>_(* #,##0.00_);_(* \(#,##0.00\);_(* \-??_);_(@_)</c:formatCode>
                <c:ptCount val="32"/>
                <c:pt idx="0">
                  <c:v>14636</c:v>
                </c:pt>
                <c:pt idx="1">
                  <c:v>9438.9599999999991</c:v>
                </c:pt>
                <c:pt idx="2">
                  <c:v>7956.16</c:v>
                </c:pt>
                <c:pt idx="3">
                  <c:v>6612.56</c:v>
                </c:pt>
                <c:pt idx="4">
                  <c:v>4824.0200000000004</c:v>
                </c:pt>
                <c:pt idx="5">
                  <c:v>4739.8399999999901</c:v>
                </c:pt>
                <c:pt idx="6">
                  <c:v>4022.17</c:v>
                </c:pt>
                <c:pt idx="7">
                  <c:v>3951.88</c:v>
                </c:pt>
                <c:pt idx="8">
                  <c:v>2339.85</c:v>
                </c:pt>
                <c:pt idx="9">
                  <c:v>2327.3799999999901</c:v>
                </c:pt>
                <c:pt idx="10">
                  <c:v>2260.9699999999998</c:v>
                </c:pt>
                <c:pt idx="11">
                  <c:v>1587.87</c:v>
                </c:pt>
                <c:pt idx="12">
                  <c:v>980.35</c:v>
                </c:pt>
                <c:pt idx="13">
                  <c:v>926.98</c:v>
                </c:pt>
                <c:pt idx="14">
                  <c:v>457.71</c:v>
                </c:pt>
                <c:pt idx="15">
                  <c:v>455</c:v>
                </c:pt>
                <c:pt idx="16">
                  <c:v>430.48</c:v>
                </c:pt>
                <c:pt idx="17">
                  <c:v>292.41000000000003</c:v>
                </c:pt>
                <c:pt idx="18">
                  <c:v>269</c:v>
                </c:pt>
                <c:pt idx="19">
                  <c:v>258.33999999999997</c:v>
                </c:pt>
                <c:pt idx="20">
                  <c:v>209.76</c:v>
                </c:pt>
                <c:pt idx="21">
                  <c:v>101.97</c:v>
                </c:pt>
                <c:pt idx="22">
                  <c:v>56.52</c:v>
                </c:pt>
                <c:pt idx="23">
                  <c:v>36.67</c:v>
                </c:pt>
                <c:pt idx="24">
                  <c:v>33</c:v>
                </c:pt>
                <c:pt idx="25">
                  <c:v>22.63</c:v>
                </c:pt>
                <c:pt idx="26">
                  <c:v>20.69</c:v>
                </c:pt>
                <c:pt idx="27">
                  <c:v>4</c:v>
                </c:pt>
                <c:pt idx="28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C15-447C-AB84-C184A52DC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2634426"/>
        <c:axId val="1411295764"/>
      </c:barChart>
      <c:catAx>
        <c:axId val="76263442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411295764"/>
        <c:crosses val="autoZero"/>
        <c:auto val="1"/>
        <c:lblAlgn val="ctr"/>
        <c:lblOffset val="100"/>
        <c:noMultiLvlLbl val="1"/>
      </c:catAx>
      <c:valAx>
        <c:axId val="141129576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6263442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Calibri"/>
              </a:defRPr>
            </a:pPr>
            <a:r>
              <a:rPr lang="id-ID" sz="1400" b="1" i="0">
                <a:solidFill>
                  <a:srgbClr val="000000"/>
                </a:solidFill>
                <a:latin typeface="Calibri"/>
              </a:rPr>
              <a:t>Perkembangan Produksi Tembakau Total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'Tembakau Total'!$B$62:$B$69</c:f>
              <c:strCache>
                <c:ptCount val="8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</c:strCache>
            </c:strRef>
          </c:cat>
          <c:val>
            <c:numRef>
              <c:f>'Tembakau Total'!$C$62:$C$69</c:f>
              <c:numCache>
                <c:formatCode>_(* #,##0.00_);_(* \(#,##0.00\);_(* \-??_);_(@_)</c:formatCode>
                <c:ptCount val="8"/>
                <c:pt idx="0">
                  <c:v>69257.17</c:v>
                </c:pt>
                <c:pt idx="1">
                  <c:v>56914.492424699994</c:v>
                </c:pt>
                <c:pt idx="2">
                  <c:v>45700.41</c:v>
                </c:pt>
                <c:pt idx="3">
                  <c:v>55153.659999999989</c:v>
                </c:pt>
                <c:pt idx="4">
                  <c:v>57643.08</c:v>
                </c:pt>
                <c:pt idx="5">
                  <c:v>56205.489012571423</c:v>
                </c:pt>
                <c:pt idx="6">
                  <c:v>47116.247280000003</c:v>
                </c:pt>
                <c:pt idx="7">
                  <c:v>38340.654999999999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98-4492-8315-EB8D04BBD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8731098"/>
        <c:axId val="124151506"/>
      </c:lineChart>
      <c:catAx>
        <c:axId val="21187310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24151506"/>
        <c:crosses val="autoZero"/>
        <c:auto val="1"/>
        <c:lblAlgn val="ctr"/>
        <c:lblOffset val="100"/>
        <c:noMultiLvlLbl val="1"/>
      </c:catAx>
      <c:valAx>
        <c:axId val="12415150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211873109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371475</xdr:colOff>
      <xdr:row>7</xdr:row>
      <xdr:rowOff>180975</xdr:rowOff>
    </xdr:from>
    <xdr:ext cx="7934325" cy="2809875"/>
    <xdr:graphicFrame macro="">
      <xdr:nvGraphicFramePr>
        <xdr:cNvPr id="2" name="Chart 63">
          <a:extLst>
            <a:ext uri="{FF2B5EF4-FFF2-40B4-BE49-F238E27FC236}">
              <a16:creationId xmlns:a16="http://schemas.microsoft.com/office/drawing/2014/main" id="{7193B195-CDB3-4D48-A0A2-B29BA07F7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390525</xdr:colOff>
      <xdr:row>23</xdr:row>
      <xdr:rowOff>0</xdr:rowOff>
    </xdr:from>
    <xdr:ext cx="7981950" cy="2809875"/>
    <xdr:graphicFrame macro="">
      <xdr:nvGraphicFramePr>
        <xdr:cNvPr id="3" name="Chart 64">
          <a:extLst>
            <a:ext uri="{FF2B5EF4-FFF2-40B4-BE49-F238E27FC236}">
              <a16:creationId xmlns:a16="http://schemas.microsoft.com/office/drawing/2014/main" id="{F9423BB5-9878-4602-A98C-086A9E599F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0</xdr:colOff>
      <xdr:row>57</xdr:row>
      <xdr:rowOff>19050</xdr:rowOff>
    </xdr:from>
    <xdr:ext cx="4619625" cy="2847975"/>
    <xdr:graphicFrame macro="">
      <xdr:nvGraphicFramePr>
        <xdr:cNvPr id="4" name="Chart 65" title="Chart">
          <a:extLst>
            <a:ext uri="{FF2B5EF4-FFF2-40B4-BE49-F238E27FC236}">
              <a16:creationId xmlns:a16="http://schemas.microsoft.com/office/drawing/2014/main" id="{FB67DA27-054C-4282-8BB2-D4A4CD87CD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257175</xdr:colOff>
      <xdr:row>59</xdr:row>
      <xdr:rowOff>152400</xdr:rowOff>
    </xdr:from>
    <xdr:ext cx="6562725" cy="5953125"/>
    <xdr:pic>
      <xdr:nvPicPr>
        <xdr:cNvPr id="5" name="image34.png" title="Gambar">
          <a:extLst>
            <a:ext uri="{FF2B5EF4-FFF2-40B4-BE49-F238E27FC236}">
              <a16:creationId xmlns:a16="http://schemas.microsoft.com/office/drawing/2014/main" id="{840367CA-EE2E-4746-B2F6-678D904F1F16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3477875" y="1060132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152400</xdr:colOff>
      <xdr:row>58</xdr:row>
      <xdr:rowOff>152400</xdr:rowOff>
    </xdr:from>
    <xdr:ext cx="4981575" cy="4514850"/>
    <xdr:pic>
      <xdr:nvPicPr>
        <xdr:cNvPr id="6" name="image33.png" title="Image">
          <a:extLst>
            <a:ext uri="{FF2B5EF4-FFF2-40B4-BE49-F238E27FC236}">
              <a16:creationId xmlns:a16="http://schemas.microsoft.com/office/drawing/2014/main" id="{30DE820D-946E-4F0C-B9B2-DE28334BC26A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5229225" y="10420350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">
          <cell r="A3" t="str">
            <v>TANAMAN SEMUSIM DI JAWA TENGAH TAHUN 2024</v>
          </cell>
        </row>
      </sheetData>
      <sheetData sheetId="18">
        <row r="9">
          <cell r="C9">
            <v>0</v>
          </cell>
          <cell r="D9">
            <v>0</v>
          </cell>
          <cell r="E9">
            <v>0</v>
          </cell>
          <cell r="G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G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G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G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G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G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G15">
            <v>0</v>
          </cell>
        </row>
        <row r="16">
          <cell r="C16">
            <v>1</v>
          </cell>
          <cell r="D16">
            <v>1</v>
          </cell>
          <cell r="E16">
            <v>0.64</v>
          </cell>
          <cell r="G16">
            <v>3</v>
          </cell>
        </row>
        <row r="17">
          <cell r="C17">
            <v>217.5</v>
          </cell>
          <cell r="D17">
            <v>217.5</v>
          </cell>
          <cell r="E17">
            <v>282.75</v>
          </cell>
          <cell r="G17">
            <v>722</v>
          </cell>
        </row>
        <row r="18">
          <cell r="C18">
            <v>966.92</v>
          </cell>
          <cell r="D18">
            <v>966.92</v>
          </cell>
          <cell r="E18">
            <v>1799.19</v>
          </cell>
          <cell r="G18">
            <v>3077</v>
          </cell>
        </row>
        <row r="19">
          <cell r="C19">
            <v>120</v>
          </cell>
          <cell r="D19">
            <v>120</v>
          </cell>
          <cell r="E19">
            <v>269</v>
          </cell>
          <cell r="G19">
            <v>90</v>
          </cell>
        </row>
        <row r="20">
          <cell r="C20">
            <v>0</v>
          </cell>
          <cell r="D20">
            <v>0</v>
          </cell>
          <cell r="E20">
            <v>0</v>
          </cell>
          <cell r="G20">
            <v>0</v>
          </cell>
        </row>
        <row r="21">
          <cell r="C21">
            <v>10</v>
          </cell>
          <cell r="D21">
            <v>10</v>
          </cell>
          <cell r="E21">
            <v>8</v>
          </cell>
          <cell r="G21">
            <v>12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G23">
            <v>0</v>
          </cell>
        </row>
        <row r="24">
          <cell r="C24">
            <v>2909.95</v>
          </cell>
          <cell r="D24">
            <v>2744.8</v>
          </cell>
          <cell r="E24">
            <v>4647.9399999999996</v>
          </cell>
          <cell r="G24">
            <v>4935</v>
          </cell>
        </row>
        <row r="25">
          <cell r="C25">
            <v>0</v>
          </cell>
          <cell r="D25">
            <v>0</v>
          </cell>
          <cell r="E25">
            <v>0</v>
          </cell>
          <cell r="G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G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G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G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G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</row>
      </sheetData>
      <sheetData sheetId="19">
        <row r="9">
          <cell r="C9">
            <v>64.48</v>
          </cell>
          <cell r="D9">
            <v>40.28</v>
          </cell>
          <cell r="E9">
            <v>36.67</v>
          </cell>
          <cell r="G9">
            <v>556</v>
          </cell>
        </row>
        <row r="10">
          <cell r="C10">
            <v>106.96</v>
          </cell>
          <cell r="D10">
            <v>106.96</v>
          </cell>
          <cell r="E10">
            <v>56.52</v>
          </cell>
          <cell r="G10">
            <v>512</v>
          </cell>
        </row>
        <row r="11">
          <cell r="C11">
            <v>35.82</v>
          </cell>
          <cell r="D11">
            <v>35.82</v>
          </cell>
          <cell r="E11">
            <v>20.69</v>
          </cell>
          <cell r="G11">
            <v>499</v>
          </cell>
        </row>
        <row r="12">
          <cell r="C12">
            <v>341</v>
          </cell>
          <cell r="D12">
            <v>341</v>
          </cell>
          <cell r="E12">
            <v>309.13</v>
          </cell>
          <cell r="G12">
            <v>1455</v>
          </cell>
        </row>
        <row r="13">
          <cell r="C13">
            <v>918.45</v>
          </cell>
          <cell r="D13">
            <v>918.45</v>
          </cell>
          <cell r="E13">
            <v>980.35</v>
          </cell>
          <cell r="G13">
            <v>2613</v>
          </cell>
        </row>
        <row r="14">
          <cell r="C14">
            <v>312.64</v>
          </cell>
          <cell r="D14">
            <v>311.44</v>
          </cell>
          <cell r="E14">
            <v>292.41000000000003</v>
          </cell>
          <cell r="G14">
            <v>1820</v>
          </cell>
        </row>
        <row r="15">
          <cell r="C15">
            <v>2018.48</v>
          </cell>
          <cell r="D15">
            <v>2018.48</v>
          </cell>
          <cell r="E15">
            <v>1151.23</v>
          </cell>
          <cell r="G15">
            <v>5070</v>
          </cell>
        </row>
        <row r="16">
          <cell r="C16">
            <v>3250</v>
          </cell>
          <cell r="D16">
            <v>3250</v>
          </cell>
          <cell r="E16">
            <v>2326.7399999999998</v>
          </cell>
          <cell r="G16">
            <v>11760</v>
          </cell>
        </row>
        <row r="17">
          <cell r="C17">
            <v>4052.5</v>
          </cell>
          <cell r="D17">
            <v>4052.5</v>
          </cell>
          <cell r="E17">
            <v>4541.2700000000004</v>
          </cell>
          <cell r="G17">
            <v>15122</v>
          </cell>
        </row>
        <row r="18">
          <cell r="C18">
            <v>421.95</v>
          </cell>
          <cell r="D18">
            <v>421.95</v>
          </cell>
          <cell r="E18">
            <v>540.66</v>
          </cell>
          <cell r="G18">
            <v>1224</v>
          </cell>
        </row>
        <row r="19">
          <cell r="C19">
            <v>0</v>
          </cell>
          <cell r="D19">
            <v>0</v>
          </cell>
          <cell r="E19">
            <v>0</v>
          </cell>
          <cell r="G19">
            <v>0</v>
          </cell>
        </row>
        <row r="20">
          <cell r="C20">
            <v>2219</v>
          </cell>
          <cell r="D20">
            <v>2219</v>
          </cell>
          <cell r="E20">
            <v>3951.88</v>
          </cell>
          <cell r="G20">
            <v>7921</v>
          </cell>
        </row>
        <row r="21">
          <cell r="C21">
            <v>252.2</v>
          </cell>
          <cell r="D21">
            <v>252.2</v>
          </cell>
          <cell r="E21">
            <v>201.76</v>
          </cell>
          <cell r="G21">
            <v>661</v>
          </cell>
        </row>
        <row r="22">
          <cell r="C22">
            <v>251</v>
          </cell>
          <cell r="D22">
            <v>248.9</v>
          </cell>
          <cell r="E22">
            <v>457.71</v>
          </cell>
          <cell r="G22">
            <v>384</v>
          </cell>
        </row>
        <row r="23">
          <cell r="C23">
            <v>4325.95</v>
          </cell>
          <cell r="D23">
            <v>4325.95</v>
          </cell>
          <cell r="E23">
            <v>7956.16</v>
          </cell>
          <cell r="G23">
            <v>11114</v>
          </cell>
        </row>
        <row r="24">
          <cell r="C24">
            <v>55.5</v>
          </cell>
          <cell r="D24">
            <v>55.5</v>
          </cell>
          <cell r="E24">
            <v>91.9</v>
          </cell>
          <cell r="G24">
            <v>83</v>
          </cell>
        </row>
        <row r="25">
          <cell r="C25">
            <v>7318</v>
          </cell>
          <cell r="D25">
            <v>7318</v>
          </cell>
          <cell r="E25">
            <v>14636</v>
          </cell>
          <cell r="G25">
            <v>4469</v>
          </cell>
        </row>
        <row r="26">
          <cell r="C26">
            <v>938.4</v>
          </cell>
          <cell r="D26">
            <v>917.8</v>
          </cell>
          <cell r="E26">
            <v>1587.87</v>
          </cell>
          <cell r="G26">
            <v>1307</v>
          </cell>
        </row>
        <row r="27">
          <cell r="C27">
            <v>12.2</v>
          </cell>
          <cell r="D27">
            <v>12.2</v>
          </cell>
          <cell r="E27">
            <v>22.63</v>
          </cell>
          <cell r="G27">
            <v>13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</row>
        <row r="29">
          <cell r="C29">
            <v>2965</v>
          </cell>
          <cell r="D29">
            <v>2962</v>
          </cell>
          <cell r="E29">
            <v>4022.17</v>
          </cell>
          <cell r="G29">
            <v>12333</v>
          </cell>
        </row>
        <row r="30">
          <cell r="C30">
            <v>668.2</v>
          </cell>
          <cell r="D30">
            <v>668.2</v>
          </cell>
          <cell r="E30">
            <v>926.98</v>
          </cell>
          <cell r="G30">
            <v>2734</v>
          </cell>
        </row>
        <row r="31">
          <cell r="C31">
            <v>14094.42</v>
          </cell>
          <cell r="D31">
            <v>14094.42</v>
          </cell>
          <cell r="E31">
            <v>9438.9599999999991</v>
          </cell>
          <cell r="G31">
            <v>42084</v>
          </cell>
        </row>
        <row r="32">
          <cell r="C32">
            <v>4378.95</v>
          </cell>
          <cell r="D32">
            <v>4378.95</v>
          </cell>
          <cell r="E32">
            <v>6612.56</v>
          </cell>
          <cell r="G32">
            <v>9911</v>
          </cell>
        </row>
        <row r="33">
          <cell r="C33">
            <v>265</v>
          </cell>
          <cell r="D33">
            <v>265</v>
          </cell>
          <cell r="E33">
            <v>258.33999999999997</v>
          </cell>
          <cell r="G33">
            <v>985</v>
          </cell>
        </row>
        <row r="34">
          <cell r="C34">
            <v>55</v>
          </cell>
          <cell r="D34">
            <v>55</v>
          </cell>
          <cell r="E34">
            <v>33</v>
          </cell>
          <cell r="G34">
            <v>288</v>
          </cell>
        </row>
        <row r="35">
          <cell r="C35">
            <v>388.17</v>
          </cell>
          <cell r="D35">
            <v>388.17</v>
          </cell>
          <cell r="E35">
            <v>455</v>
          </cell>
          <cell r="G35">
            <v>1417</v>
          </cell>
        </row>
        <row r="36">
          <cell r="C36">
            <v>119.6</v>
          </cell>
          <cell r="D36">
            <v>115.37</v>
          </cell>
          <cell r="E36">
            <v>101.97</v>
          </cell>
          <cell r="G36">
            <v>357</v>
          </cell>
        </row>
        <row r="37">
          <cell r="C37">
            <v>2</v>
          </cell>
          <cell r="D37">
            <v>2</v>
          </cell>
          <cell r="E37">
            <v>4</v>
          </cell>
          <cell r="G37">
            <v>18</v>
          </cell>
        </row>
        <row r="38"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</row>
      </sheetData>
      <sheetData sheetId="20">
        <row r="9">
          <cell r="C9">
            <v>0</v>
          </cell>
          <cell r="D9">
            <v>0</v>
          </cell>
          <cell r="E9">
            <v>0</v>
          </cell>
          <cell r="G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G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G11">
            <v>0</v>
          </cell>
        </row>
        <row r="12">
          <cell r="C12">
            <v>150</v>
          </cell>
          <cell r="D12">
            <v>150</v>
          </cell>
          <cell r="E12">
            <v>121.35</v>
          </cell>
          <cell r="G12">
            <v>607</v>
          </cell>
        </row>
        <row r="13">
          <cell r="C13">
            <v>0</v>
          </cell>
          <cell r="D13">
            <v>0</v>
          </cell>
          <cell r="E13">
            <v>0</v>
          </cell>
          <cell r="G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G14">
            <v>0</v>
          </cell>
        </row>
        <row r="15">
          <cell r="C15">
            <v>811.3</v>
          </cell>
          <cell r="D15">
            <v>811.3</v>
          </cell>
          <cell r="E15">
            <v>1109.74</v>
          </cell>
          <cell r="G15">
            <v>997</v>
          </cell>
        </row>
        <row r="16">
          <cell r="C16">
            <v>0</v>
          </cell>
          <cell r="D16">
            <v>0</v>
          </cell>
          <cell r="E16">
            <v>0</v>
          </cell>
          <cell r="G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G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G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G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G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G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G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G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G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G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G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G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G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</row>
      </sheetData>
      <sheetData sheetId="21">
        <row r="9">
          <cell r="C9">
            <v>0</v>
          </cell>
          <cell r="D9">
            <v>0</v>
          </cell>
          <cell r="E9">
            <v>0</v>
          </cell>
          <cell r="G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G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G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G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G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G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G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G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G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G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G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G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G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G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G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G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</row>
        <row r="28">
          <cell r="C28">
            <v>3.5</v>
          </cell>
          <cell r="D28">
            <v>3.5</v>
          </cell>
          <cell r="E28">
            <v>4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G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G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G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G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</row>
      </sheetData>
      <sheetData sheetId="22">
        <row r="9">
          <cell r="C9">
            <v>0</v>
          </cell>
          <cell r="D9">
            <v>0</v>
          </cell>
          <cell r="E9">
            <v>0</v>
          </cell>
          <cell r="G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G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G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G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G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G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G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G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G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G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G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G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G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G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G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G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G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G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G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G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</row>
      </sheetData>
      <sheetData sheetId="23">
        <row r="9">
          <cell r="I9" t="str">
            <v>Kab. Temanggung</v>
          </cell>
          <cell r="J9">
            <v>14094.42</v>
          </cell>
          <cell r="K9" t="str">
            <v>Kab. Rembang</v>
          </cell>
          <cell r="L9">
            <v>14636</v>
          </cell>
        </row>
        <row r="10">
          <cell r="I10" t="str">
            <v>Kab. Rembang</v>
          </cell>
          <cell r="J10">
            <v>7318</v>
          </cell>
          <cell r="K10" t="str">
            <v>Kab. Temanggung</v>
          </cell>
          <cell r="L10">
            <v>9438.9599999999991</v>
          </cell>
        </row>
        <row r="11">
          <cell r="I11" t="str">
            <v>Kab. Kendal</v>
          </cell>
          <cell r="J11">
            <v>4378.95</v>
          </cell>
          <cell r="K11" t="str">
            <v>Kab. Grobogan</v>
          </cell>
          <cell r="L11">
            <v>7956.16</v>
          </cell>
        </row>
        <row r="12">
          <cell r="I12" t="str">
            <v>Kab. Grobogan</v>
          </cell>
          <cell r="J12">
            <v>4325.95</v>
          </cell>
          <cell r="K12" t="str">
            <v>Kab. Kendal</v>
          </cell>
          <cell r="L12">
            <v>6612.56</v>
          </cell>
        </row>
        <row r="13">
          <cell r="I13" t="str">
            <v>Kab. Boyolali</v>
          </cell>
          <cell r="J13">
            <v>4270</v>
          </cell>
          <cell r="K13" t="str">
            <v>Kab. Boyolali</v>
          </cell>
          <cell r="L13">
            <v>4824.0200000000004</v>
          </cell>
        </row>
        <row r="14">
          <cell r="I14" t="str">
            <v>Kab. Magelang</v>
          </cell>
          <cell r="J14">
            <v>3251</v>
          </cell>
          <cell r="K14" t="str">
            <v>Kab. Blora</v>
          </cell>
          <cell r="L14">
            <v>4739.8399999999901</v>
          </cell>
        </row>
        <row r="15">
          <cell r="I15" t="str">
            <v>Kab. Blora</v>
          </cell>
          <cell r="J15">
            <v>2800.3</v>
          </cell>
          <cell r="K15" t="str">
            <v>Kab. Demak</v>
          </cell>
          <cell r="L15">
            <v>4022.17</v>
          </cell>
        </row>
        <row r="16">
          <cell r="I16" t="str">
            <v>Kab. Demak</v>
          </cell>
          <cell r="J16">
            <v>2962</v>
          </cell>
          <cell r="K16" t="str">
            <v>Kab. Wonogiri</v>
          </cell>
          <cell r="L16">
            <v>3951.88</v>
          </cell>
        </row>
        <row r="17">
          <cell r="I17" t="str">
            <v>Kab. Wonosobo</v>
          </cell>
          <cell r="J17">
            <v>2829.7799999999902</v>
          </cell>
          <cell r="K17" t="str">
            <v>Kab. Klaten</v>
          </cell>
          <cell r="L17">
            <v>2339.85</v>
          </cell>
        </row>
        <row r="18">
          <cell r="I18" t="str">
            <v>Kab. Wonogiri</v>
          </cell>
          <cell r="J18">
            <v>2219</v>
          </cell>
          <cell r="K18" t="str">
            <v>Kab. Magelang</v>
          </cell>
          <cell r="L18">
            <v>2327.3799999999901</v>
          </cell>
        </row>
        <row r="19">
          <cell r="I19" t="str">
            <v>Kab. Klaten</v>
          </cell>
          <cell r="J19">
            <v>1388.87</v>
          </cell>
          <cell r="K19" t="str">
            <v>Kab. Wonosobo</v>
          </cell>
          <cell r="L19">
            <v>2260.9699999999998</v>
          </cell>
        </row>
        <row r="20">
          <cell r="I20" t="str">
            <v>Kab. Pati</v>
          </cell>
          <cell r="J20">
            <v>917.8</v>
          </cell>
          <cell r="K20" t="str">
            <v>Kab. Pati</v>
          </cell>
          <cell r="L20">
            <v>1587.87</v>
          </cell>
        </row>
        <row r="21">
          <cell r="I21" t="str">
            <v>Kab. Kebumen</v>
          </cell>
          <cell r="J21">
            <v>918.45</v>
          </cell>
          <cell r="K21" t="str">
            <v>Kab. Kebumen</v>
          </cell>
          <cell r="L21">
            <v>980.35</v>
          </cell>
        </row>
        <row r="22">
          <cell r="I22" t="str">
            <v>Kab. Semarang</v>
          </cell>
          <cell r="J22">
            <v>668.2</v>
          </cell>
          <cell r="K22" t="str">
            <v>Kab. Semarang</v>
          </cell>
          <cell r="L22">
            <v>926.98</v>
          </cell>
        </row>
        <row r="23">
          <cell r="I23" t="str">
            <v>Kab. Banjarnegara</v>
          </cell>
          <cell r="J23">
            <v>491</v>
          </cell>
          <cell r="K23" t="str">
            <v>Kab. Sragen</v>
          </cell>
          <cell r="L23">
            <v>457.71</v>
          </cell>
        </row>
        <row r="24">
          <cell r="I24" t="str">
            <v>Kab. Pemalang</v>
          </cell>
          <cell r="J24">
            <v>388.17</v>
          </cell>
          <cell r="K24" t="str">
            <v>Kab. Pemalang</v>
          </cell>
          <cell r="L24">
            <v>455</v>
          </cell>
        </row>
        <row r="25">
          <cell r="I25" t="str">
            <v>Kab. Purworejo</v>
          </cell>
          <cell r="J25">
            <v>311.44</v>
          </cell>
          <cell r="K25" t="str">
            <v>Kab. Banjarnegara</v>
          </cell>
          <cell r="L25">
            <v>430.48</v>
          </cell>
        </row>
        <row r="26">
          <cell r="I26" t="str">
            <v>Kab. Batang</v>
          </cell>
          <cell r="J26">
            <v>265</v>
          </cell>
          <cell r="K26" t="str">
            <v>Kab. Purworejo</v>
          </cell>
          <cell r="L26">
            <v>292.41000000000003</v>
          </cell>
        </row>
        <row r="27">
          <cell r="I27" t="str">
            <v>Kab. Karanganyar</v>
          </cell>
          <cell r="J27">
            <v>262.2</v>
          </cell>
          <cell r="K27" t="str">
            <v>Kab. Sukoharjo</v>
          </cell>
          <cell r="L27">
            <v>269</v>
          </cell>
        </row>
        <row r="28">
          <cell r="I28" t="str">
            <v>Kab. Sragen</v>
          </cell>
          <cell r="J28">
            <v>248.9</v>
          </cell>
          <cell r="K28" t="str">
            <v>Kab. Batang</v>
          </cell>
          <cell r="L28">
            <v>258.33999999999997</v>
          </cell>
        </row>
        <row r="29">
          <cell r="I29" t="str">
            <v>Kab. Sukoharjo</v>
          </cell>
          <cell r="J29">
            <v>120</v>
          </cell>
          <cell r="K29" t="str">
            <v>Kab. Karanganyar</v>
          </cell>
          <cell r="L29">
            <v>209.76</v>
          </cell>
        </row>
        <row r="30">
          <cell r="I30" t="str">
            <v>Kab. Tegal</v>
          </cell>
          <cell r="J30">
            <v>115.37</v>
          </cell>
          <cell r="K30" t="str">
            <v>Kab. Tegal</v>
          </cell>
          <cell r="L30">
            <v>101.97</v>
          </cell>
        </row>
        <row r="31">
          <cell r="I31" t="str">
            <v>Kab. Banyumas</v>
          </cell>
          <cell r="J31">
            <v>106.96</v>
          </cell>
          <cell r="K31" t="str">
            <v>Kab. Banyumas</v>
          </cell>
          <cell r="L31">
            <v>56.52</v>
          </cell>
        </row>
        <row r="32">
          <cell r="I32" t="str">
            <v>Kab. Cilacap</v>
          </cell>
          <cell r="J32">
            <v>40.28</v>
          </cell>
          <cell r="K32" t="str">
            <v>Kab. Cilacap</v>
          </cell>
          <cell r="L32">
            <v>36.67</v>
          </cell>
        </row>
        <row r="33">
          <cell r="I33" t="str">
            <v>Kab. Pekalongan</v>
          </cell>
          <cell r="J33">
            <v>55</v>
          </cell>
          <cell r="K33" t="str">
            <v>Kab. Pekalongan</v>
          </cell>
          <cell r="L33">
            <v>33</v>
          </cell>
        </row>
        <row r="34">
          <cell r="I34" t="str">
            <v>Kab. Purbalingga</v>
          </cell>
          <cell r="J34">
            <v>35.82</v>
          </cell>
          <cell r="K34" t="str">
            <v>Kab. Kudus</v>
          </cell>
          <cell r="L34">
            <v>22.63</v>
          </cell>
        </row>
        <row r="35">
          <cell r="I35" t="str">
            <v>Kab. Kudus</v>
          </cell>
          <cell r="J35">
            <v>12.2</v>
          </cell>
          <cell r="K35" t="str">
            <v>Kab. Purbalingga</v>
          </cell>
          <cell r="L35">
            <v>20.69</v>
          </cell>
        </row>
        <row r="36">
          <cell r="I36" t="str">
            <v>Kab. Jepara</v>
          </cell>
          <cell r="J36">
            <v>3.5</v>
          </cell>
          <cell r="K36" t="str">
            <v>Kab. Jepara</v>
          </cell>
          <cell r="L36">
            <v>4</v>
          </cell>
        </row>
        <row r="37">
          <cell r="I37" t="str">
            <v>Kab. Brebes</v>
          </cell>
          <cell r="J37">
            <v>2</v>
          </cell>
          <cell r="K37" t="str">
            <v>Kab. Brebes</v>
          </cell>
          <cell r="L37">
            <v>4</v>
          </cell>
        </row>
        <row r="62">
          <cell r="B62" t="str">
            <v>2024</v>
          </cell>
          <cell r="C62">
            <v>69257.17</v>
          </cell>
        </row>
        <row r="63">
          <cell r="B63" t="str">
            <v>2023</v>
          </cell>
          <cell r="C63">
            <v>56914.492424699994</v>
          </cell>
        </row>
        <row r="64">
          <cell r="B64" t="str">
            <v>2022</v>
          </cell>
          <cell r="C64">
            <v>45700.41</v>
          </cell>
        </row>
        <row r="65">
          <cell r="B65" t="str">
            <v>2021</v>
          </cell>
          <cell r="C65">
            <v>55153.659999999989</v>
          </cell>
        </row>
        <row r="66">
          <cell r="B66" t="str">
            <v>2020</v>
          </cell>
          <cell r="C66">
            <v>57643.08</v>
          </cell>
        </row>
        <row r="67">
          <cell r="B67" t="str">
            <v>2019</v>
          </cell>
          <cell r="C67">
            <v>56205.489012571423</v>
          </cell>
        </row>
        <row r="68">
          <cell r="B68" t="str">
            <v>2018</v>
          </cell>
          <cell r="C68">
            <v>47116.247280000003</v>
          </cell>
        </row>
        <row r="69">
          <cell r="B69" t="str">
            <v>2017</v>
          </cell>
          <cell r="C69">
            <v>38340.654999999999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JP7W2/1/" TargetMode="External"/><Relationship Id="rId1" Type="http://schemas.openxmlformats.org/officeDocument/2006/relationships/hyperlink" Target="https://datawrapper.dwcdn.net/oIdL5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EDCE0-05F3-4116-898E-3BE386D158E5}">
  <sheetPr>
    <tabColor rgb="FF76923C"/>
    <pageSetUpPr fitToPage="1"/>
  </sheetPr>
  <dimension ref="A1:AK1003"/>
  <sheetViews>
    <sheetView tabSelected="1" topLeftCell="A28" workbookViewId="0">
      <selection sqref="A1:G1"/>
    </sheetView>
  </sheetViews>
  <sheetFormatPr defaultColWidth="14.42578125" defaultRowHeight="15" customHeight="1"/>
  <cols>
    <col min="1" max="1" width="6.42578125" customWidth="1"/>
    <col min="2" max="2" width="23.140625" customWidth="1"/>
    <col min="3" max="3" width="15.42578125" customWidth="1"/>
    <col min="4" max="4" width="15.140625" customWidth="1"/>
    <col min="5" max="5" width="16" customWidth="1"/>
    <col min="6" max="6" width="14.85546875" customWidth="1"/>
    <col min="7" max="7" width="15.140625" customWidth="1"/>
    <col min="8" max="8" width="12.28515625" customWidth="1"/>
    <col min="9" max="9" width="19.42578125" customWidth="1"/>
    <col min="10" max="10" width="12.5703125" customWidth="1"/>
    <col min="11" max="11" width="19.28515625" customWidth="1"/>
    <col min="12" max="12" width="16" customWidth="1"/>
    <col min="13" max="13" width="12.5703125" customWidth="1"/>
    <col min="14" max="14" width="4" customWidth="1"/>
    <col min="15" max="15" width="6.28515625" customWidth="1"/>
    <col min="16" max="16" width="16.85546875" customWidth="1"/>
    <col min="17" max="17" width="15.28515625" customWidth="1"/>
    <col min="18" max="18" width="14.5703125" hidden="1" customWidth="1"/>
    <col min="19" max="19" width="16" hidden="1" customWidth="1"/>
    <col min="20" max="20" width="11.28515625" hidden="1" customWidth="1"/>
    <col min="21" max="21" width="15.42578125" customWidth="1"/>
    <col min="22" max="22" width="9.140625" hidden="1" customWidth="1"/>
    <col min="23" max="23" width="17" customWidth="1"/>
    <col min="24" max="24" width="14" customWidth="1"/>
    <col min="25" max="25" width="12.5703125" customWidth="1"/>
    <col min="26" max="37" width="9.140625" customWidth="1"/>
  </cols>
  <sheetData>
    <row r="1" spans="1:37" ht="15" customHeight="1">
      <c r="A1" s="1" t="s">
        <v>0</v>
      </c>
      <c r="B1" s="2"/>
      <c r="C1" s="2"/>
      <c r="D1" s="2"/>
      <c r="E1" s="2"/>
      <c r="F1" s="2"/>
      <c r="G1" s="2"/>
      <c r="H1" s="3" t="s">
        <v>1</v>
      </c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2</v>
      </c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37" ht="15" customHeight="1">
      <c r="A2" s="6" t="s">
        <v>3</v>
      </c>
      <c r="B2" s="2"/>
      <c r="C2" s="2"/>
      <c r="D2" s="2"/>
      <c r="E2" s="2"/>
      <c r="F2" s="2"/>
      <c r="G2" s="2"/>
      <c r="H2" s="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7" ht="15" customHeight="1">
      <c r="A3" s="6" t="str">
        <f>'[1]Batang Tebu'!$A$3</f>
        <v>TANAMAN SEMUSIM DI JAWA TENGAH TAHUN 2024</v>
      </c>
      <c r="B3" s="2"/>
      <c r="C3" s="2"/>
      <c r="D3" s="2"/>
      <c r="E3" s="2"/>
      <c r="F3" s="2"/>
      <c r="G3" s="2"/>
      <c r="H3" s="7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ht="15" customHeight="1">
      <c r="A4" s="6" t="s">
        <v>4</v>
      </c>
      <c r="B4" s="2"/>
      <c r="C4" s="2"/>
      <c r="D4" s="2"/>
      <c r="E4" s="2"/>
      <c r="F4" s="2"/>
      <c r="G4" s="2"/>
      <c r="H4" s="7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ht="9.75" customHeight="1">
      <c r="A5" s="8"/>
      <c r="B5" s="8"/>
      <c r="C5" s="8"/>
      <c r="D5" s="8"/>
      <c r="E5" s="9"/>
      <c r="F5" s="8"/>
      <c r="G5" s="10"/>
      <c r="H5" s="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ht="17.25" customHeight="1">
      <c r="A6" s="11" t="s">
        <v>5</v>
      </c>
      <c r="B6" s="11" t="s">
        <v>6</v>
      </c>
      <c r="C6" s="12" t="s">
        <v>7</v>
      </c>
      <c r="D6" s="13"/>
      <c r="E6" s="12" t="s">
        <v>8</v>
      </c>
      <c r="F6" s="13"/>
      <c r="G6" s="14" t="s">
        <v>9</v>
      </c>
      <c r="H6" s="7"/>
      <c r="I6" s="15" t="s">
        <v>10</v>
      </c>
      <c r="J6" s="2"/>
      <c r="K6" s="15" t="s">
        <v>11</v>
      </c>
      <c r="L6" s="2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ht="30" customHeight="1">
      <c r="A7" s="16"/>
      <c r="B7" s="17"/>
      <c r="C7" s="18" t="s">
        <v>12</v>
      </c>
      <c r="D7" s="18" t="s">
        <v>13</v>
      </c>
      <c r="E7" s="19" t="s">
        <v>14</v>
      </c>
      <c r="F7" s="20" t="s">
        <v>15</v>
      </c>
      <c r="G7" s="16"/>
      <c r="H7" s="7"/>
      <c r="I7" s="2"/>
      <c r="J7" s="2"/>
      <c r="K7" s="2"/>
      <c r="L7" s="2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 ht="16.5" customHeight="1">
      <c r="A8" s="21">
        <v>1</v>
      </c>
      <c r="B8" s="20">
        <v>2</v>
      </c>
      <c r="C8" s="22">
        <v>3</v>
      </c>
      <c r="D8" s="23">
        <v>4</v>
      </c>
      <c r="E8" s="21">
        <v>5</v>
      </c>
      <c r="F8" s="21">
        <v>6</v>
      </c>
      <c r="G8" s="24">
        <v>7</v>
      </c>
      <c r="H8" s="7"/>
      <c r="I8" s="25" t="s">
        <v>16</v>
      </c>
      <c r="J8" s="26" t="s">
        <v>17</v>
      </c>
      <c r="K8" s="25" t="s">
        <v>16</v>
      </c>
      <c r="L8" s="27" t="s">
        <v>18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  <row r="9" spans="1:37" ht="16.5" customHeight="1">
      <c r="A9" s="28">
        <v>1</v>
      </c>
      <c r="B9" s="29" t="s">
        <v>19</v>
      </c>
      <c r="C9" s="30">
        <f>'[1]T. Asepan'!C9+'[1]T. Rajang'!C9+'[1]T. Garangan'!C9+'[1]T. Virginia'!C9+'[1]T. Vorstenland'!C9</f>
        <v>64.48</v>
      </c>
      <c r="D9" s="30">
        <f>'[1]T. Asepan'!D9+'[1]T. Rajang'!D9+'[1]T. Garangan'!D9+'[1]T. Virginia'!D9+'[1]T. Vorstenland'!D9</f>
        <v>40.28</v>
      </c>
      <c r="E9" s="30">
        <f>'[1]T. Asepan'!E9+'[1]T. Rajang'!E9+'[1]T. Garangan'!E9+'[1]T. Virginia'!E9+'[1]T. Vorstenland'!E9</f>
        <v>36.67</v>
      </c>
      <c r="F9" s="30">
        <f t="shared" ref="F9:F40" si="0">IFERROR((E9*1000/D9),0)</f>
        <v>910.37735849056605</v>
      </c>
      <c r="G9" s="31">
        <f>'[1]T. Asepan'!G9+'[1]T. Rajang'!G9+'[1]T. Garangan'!G9+'[1]T. Virginia'!G9+'[1]T. Vorstenland'!G9</f>
        <v>556</v>
      </c>
      <c r="H9" s="7"/>
      <c r="I9" s="29" t="str">
        <f ca="1">IFERROR(__xludf.DUMMYFUNCTION("QUERY($B$9:$E$40,""select B where C&lt;&gt;0 Order By C desc"")"),"Kab. Temanggung")</f>
        <v>Kab. Temanggung</v>
      </c>
      <c r="J9" s="32">
        <f ca="1">IFERROR(__xludf.DUMMYFUNCTION("QUERY($B$9:$E$40,""select D where C&lt;&gt;0 Order By C desc"")"),14094.42)</f>
        <v>14094.42</v>
      </c>
      <c r="K9" s="29" t="str">
        <f ca="1">IFERROR(__xludf.DUMMYFUNCTION("QUERY($B$9:$E$40,""select B where E&lt;&gt;0 Order By E desc"")"),"Kab. Rembang")</f>
        <v>Kab. Rembang</v>
      </c>
      <c r="L9" s="32">
        <f ca="1">IFERROR(__xludf.DUMMYFUNCTION("QUERY($B$9:$E$40,""select E where E&lt;&gt;0 Order By E desc"")"),14636)</f>
        <v>14636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</row>
    <row r="10" spans="1:37" ht="16.5" customHeight="1">
      <c r="A10" s="33">
        <v>2</v>
      </c>
      <c r="B10" s="34" t="s">
        <v>20</v>
      </c>
      <c r="C10" s="35">
        <f>'[1]T. Asepan'!C10+'[1]T. Rajang'!C10+'[1]T. Garangan'!C10+'[1]T. Virginia'!C10+'[1]T. Vorstenland'!C10</f>
        <v>106.96</v>
      </c>
      <c r="D10" s="35">
        <f>'[1]T. Asepan'!D10+'[1]T. Rajang'!D10+'[1]T. Garangan'!D10+'[1]T. Virginia'!D10+'[1]T. Vorstenland'!D10</f>
        <v>106.96</v>
      </c>
      <c r="E10" s="35">
        <f>'[1]T. Asepan'!E10+'[1]T. Rajang'!E10+'[1]T. Garangan'!E10+'[1]T. Virginia'!E10+'[1]T. Vorstenland'!E10</f>
        <v>56.52</v>
      </c>
      <c r="F10" s="35">
        <f t="shared" si="0"/>
        <v>528.42183994016455</v>
      </c>
      <c r="G10" s="36">
        <f>'[1]T. Asepan'!G10+'[1]T. Rajang'!G10+'[1]T. Garangan'!G10+'[1]T. Virginia'!G10+'[1]T. Vorstenland'!G10</f>
        <v>512</v>
      </c>
      <c r="H10" s="7"/>
      <c r="I10" s="34" t="str">
        <f ca="1">IFERROR(__xludf.DUMMYFUNCTION("""COMPUTED_VALUE"""),"Kab. Rembang")</f>
        <v>Kab. Rembang</v>
      </c>
      <c r="J10" s="30">
        <f ca="1">IFERROR(__xludf.DUMMYFUNCTION("""COMPUTED_VALUE"""),7318)</f>
        <v>7318</v>
      </c>
      <c r="K10" s="34" t="str">
        <f ca="1">IFERROR(__xludf.DUMMYFUNCTION("""COMPUTED_VALUE"""),"Kab. Temanggung")</f>
        <v>Kab. Temanggung</v>
      </c>
      <c r="L10" s="30">
        <f ca="1">IFERROR(__xludf.DUMMYFUNCTION("""COMPUTED_VALUE"""),9438.96)</f>
        <v>9438.9599999999991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ht="16.5" customHeight="1">
      <c r="A11" s="33">
        <v>3</v>
      </c>
      <c r="B11" s="34" t="s">
        <v>21</v>
      </c>
      <c r="C11" s="35">
        <f>'[1]T. Asepan'!C11+'[1]T. Rajang'!C11+'[1]T. Garangan'!C11+'[1]T. Virginia'!C11+'[1]T. Vorstenland'!C11</f>
        <v>35.82</v>
      </c>
      <c r="D11" s="35">
        <f>'[1]T. Asepan'!D11+'[1]T. Rajang'!D11+'[1]T. Garangan'!D11+'[1]T. Virginia'!D11+'[1]T. Vorstenland'!D11</f>
        <v>35.82</v>
      </c>
      <c r="E11" s="35">
        <f>'[1]T. Asepan'!E11+'[1]T. Rajang'!E11+'[1]T. Garangan'!E11+'[1]T. Virginia'!E11+'[1]T. Vorstenland'!E11</f>
        <v>20.69</v>
      </c>
      <c r="F11" s="35">
        <f t="shared" si="0"/>
        <v>577.61027359017305</v>
      </c>
      <c r="G11" s="36">
        <f>'[1]T. Asepan'!G11+'[1]T. Rajang'!G11+'[1]T. Garangan'!G11+'[1]T. Virginia'!G11+'[1]T. Vorstenland'!G11</f>
        <v>499</v>
      </c>
      <c r="H11" s="7"/>
      <c r="I11" s="34" t="str">
        <f ca="1">IFERROR(__xludf.DUMMYFUNCTION("""COMPUTED_VALUE"""),"Kab. Kendal")</f>
        <v>Kab. Kendal</v>
      </c>
      <c r="J11" s="30">
        <f ca="1">IFERROR(__xludf.DUMMYFUNCTION("""COMPUTED_VALUE"""),4378.95)</f>
        <v>4378.95</v>
      </c>
      <c r="K11" s="34" t="str">
        <f ca="1">IFERROR(__xludf.DUMMYFUNCTION("""COMPUTED_VALUE"""),"Kab. Grobogan")</f>
        <v>Kab. Grobogan</v>
      </c>
      <c r="L11" s="30">
        <f ca="1">IFERROR(__xludf.DUMMYFUNCTION("""COMPUTED_VALUE"""),7956.16)</f>
        <v>7956.16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ht="16.5" customHeight="1">
      <c r="A12" s="33">
        <v>4</v>
      </c>
      <c r="B12" s="34" t="s">
        <v>22</v>
      </c>
      <c r="C12" s="35">
        <f>'[1]T. Asepan'!C12+'[1]T. Rajang'!C12+'[1]T. Garangan'!C12+'[1]T. Virginia'!C12+'[1]T. Vorstenland'!C12</f>
        <v>491</v>
      </c>
      <c r="D12" s="35">
        <f>'[1]T. Asepan'!D12+'[1]T. Rajang'!D12+'[1]T. Garangan'!D12+'[1]T. Virginia'!D12+'[1]T. Vorstenland'!D12</f>
        <v>491</v>
      </c>
      <c r="E12" s="35">
        <f>'[1]T. Asepan'!E12+'[1]T. Rajang'!E12+'[1]T. Garangan'!E12+'[1]T. Virginia'!E12+'[1]T. Vorstenland'!E12</f>
        <v>430.48</v>
      </c>
      <c r="F12" s="35">
        <f t="shared" si="0"/>
        <v>876.74134419551933</v>
      </c>
      <c r="G12" s="36">
        <f>'[1]T. Asepan'!G12+'[1]T. Rajang'!G12+'[1]T. Garangan'!G12+'[1]T. Virginia'!G12+'[1]T. Vorstenland'!G12</f>
        <v>2062</v>
      </c>
      <c r="H12" s="7"/>
      <c r="I12" s="34" t="str">
        <f ca="1">IFERROR(__xludf.DUMMYFUNCTION("""COMPUTED_VALUE"""),"Kab. Grobogan")</f>
        <v>Kab. Grobogan</v>
      </c>
      <c r="J12" s="30">
        <f ca="1">IFERROR(__xludf.DUMMYFUNCTION("""COMPUTED_VALUE"""),4325.95)</f>
        <v>4325.95</v>
      </c>
      <c r="K12" s="34" t="str">
        <f ca="1">IFERROR(__xludf.DUMMYFUNCTION("""COMPUTED_VALUE"""),"Kab. Kendal")</f>
        <v>Kab. Kendal</v>
      </c>
      <c r="L12" s="30">
        <f ca="1">IFERROR(__xludf.DUMMYFUNCTION("""COMPUTED_VALUE"""),6612.56)</f>
        <v>6612.56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ht="16.5" customHeight="1">
      <c r="A13" s="33">
        <v>5</v>
      </c>
      <c r="B13" s="34" t="s">
        <v>23</v>
      </c>
      <c r="C13" s="35">
        <f>'[1]T. Asepan'!C13+'[1]T. Rajang'!C13+'[1]T. Garangan'!C13+'[1]T. Virginia'!C13+'[1]T. Vorstenland'!C13</f>
        <v>918.45</v>
      </c>
      <c r="D13" s="35">
        <f>'[1]T. Asepan'!D13+'[1]T. Rajang'!D13+'[1]T. Garangan'!D13+'[1]T. Virginia'!D13+'[1]T. Vorstenland'!D13</f>
        <v>918.45</v>
      </c>
      <c r="E13" s="35">
        <f>'[1]T. Asepan'!E13+'[1]T. Rajang'!E13+'[1]T. Garangan'!E13+'[1]T. Virginia'!E13+'[1]T. Vorstenland'!E13</f>
        <v>980.35</v>
      </c>
      <c r="F13" s="35">
        <f t="shared" si="0"/>
        <v>1067.3961565681311</v>
      </c>
      <c r="G13" s="36">
        <f>'[1]T. Asepan'!G13+'[1]T. Rajang'!G13+'[1]T. Garangan'!G13+'[1]T. Virginia'!G13+'[1]T. Vorstenland'!G13</f>
        <v>2613</v>
      </c>
      <c r="H13" s="7"/>
      <c r="I13" s="34" t="str">
        <f ca="1">IFERROR(__xludf.DUMMYFUNCTION("""COMPUTED_VALUE"""),"Kab. Boyolali")</f>
        <v>Kab. Boyolali</v>
      </c>
      <c r="J13" s="30">
        <f ca="1">IFERROR(__xludf.DUMMYFUNCTION("""COMPUTED_VALUE"""),4270)</f>
        <v>4270</v>
      </c>
      <c r="K13" s="34" t="str">
        <f ca="1">IFERROR(__xludf.DUMMYFUNCTION("""COMPUTED_VALUE"""),"Kab. Boyolali")</f>
        <v>Kab. Boyolali</v>
      </c>
      <c r="L13" s="30">
        <f ca="1">IFERROR(__xludf.DUMMYFUNCTION("""COMPUTED_VALUE"""),4824.02)</f>
        <v>4824.0200000000004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ht="16.5" customHeight="1">
      <c r="A14" s="33">
        <v>6</v>
      </c>
      <c r="B14" s="34" t="s">
        <v>24</v>
      </c>
      <c r="C14" s="35">
        <f>'[1]T. Asepan'!C14+'[1]T. Rajang'!C14+'[1]T. Garangan'!C14+'[1]T. Virginia'!C14+'[1]T. Vorstenland'!C14</f>
        <v>312.64</v>
      </c>
      <c r="D14" s="35">
        <f>'[1]T. Asepan'!D14+'[1]T. Rajang'!D14+'[1]T. Garangan'!D14+'[1]T. Virginia'!D14+'[1]T. Vorstenland'!D14</f>
        <v>311.44</v>
      </c>
      <c r="E14" s="35">
        <f>'[1]T. Asepan'!E14+'[1]T. Rajang'!E14+'[1]T. Garangan'!E14+'[1]T. Virginia'!E14+'[1]T. Vorstenland'!E14</f>
        <v>292.41000000000003</v>
      </c>
      <c r="F14" s="35">
        <f t="shared" si="0"/>
        <v>938.89673773439506</v>
      </c>
      <c r="G14" s="36">
        <f>'[1]T. Asepan'!G14+'[1]T. Rajang'!G14+'[1]T. Garangan'!G14+'[1]T. Virginia'!G14+'[1]T. Vorstenland'!G14</f>
        <v>1820</v>
      </c>
      <c r="H14" s="7"/>
      <c r="I14" s="34" t="str">
        <f ca="1">IFERROR(__xludf.DUMMYFUNCTION("""COMPUTED_VALUE"""),"Kab. Magelang")</f>
        <v>Kab. Magelang</v>
      </c>
      <c r="J14" s="30">
        <f ca="1">IFERROR(__xludf.DUMMYFUNCTION("""COMPUTED_VALUE"""),3251)</f>
        <v>3251</v>
      </c>
      <c r="K14" s="34" t="str">
        <f ca="1">IFERROR(__xludf.DUMMYFUNCTION("""COMPUTED_VALUE"""),"Kab. Blora")</f>
        <v>Kab. Blora</v>
      </c>
      <c r="L14" s="30">
        <f ca="1">IFERROR(__xludf.DUMMYFUNCTION("""COMPUTED_VALUE"""),4739.83999999999)</f>
        <v>4739.8399999999901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ht="16.5" customHeight="1">
      <c r="A15" s="33">
        <v>7</v>
      </c>
      <c r="B15" s="34" t="s">
        <v>25</v>
      </c>
      <c r="C15" s="35">
        <f>'[1]T. Asepan'!C15+'[1]T. Rajang'!C15+'[1]T. Garangan'!C15+'[1]T. Virginia'!C15+'[1]T. Vorstenland'!C15</f>
        <v>2829.7799999999997</v>
      </c>
      <c r="D15" s="35">
        <f>'[1]T. Asepan'!D15+'[1]T. Rajang'!D15+'[1]T. Garangan'!D15+'[1]T. Virginia'!D15+'[1]T. Vorstenland'!D15</f>
        <v>2829.7799999999997</v>
      </c>
      <c r="E15" s="35">
        <f>'[1]T. Asepan'!E15+'[1]T. Rajang'!E15+'[1]T. Garangan'!E15+'[1]T. Virginia'!E15+'[1]T. Vorstenland'!E15</f>
        <v>2260.9700000000003</v>
      </c>
      <c r="F15" s="35">
        <f t="shared" si="0"/>
        <v>798.99144103075173</v>
      </c>
      <c r="G15" s="36">
        <f>'[1]T. Asepan'!G15+'[1]T. Rajang'!G15+'[1]T. Garangan'!G15+'[1]T. Virginia'!G15+'[1]T. Vorstenland'!G15</f>
        <v>6067</v>
      </c>
      <c r="H15" s="7"/>
      <c r="I15" s="34" t="str">
        <f ca="1">IFERROR(__xludf.DUMMYFUNCTION("""COMPUTED_VALUE"""),"Kab. Blora")</f>
        <v>Kab. Blora</v>
      </c>
      <c r="J15" s="30">
        <f ca="1">IFERROR(__xludf.DUMMYFUNCTION("""COMPUTED_VALUE"""),2800.3)</f>
        <v>2800.3</v>
      </c>
      <c r="K15" s="34" t="str">
        <f ca="1">IFERROR(__xludf.DUMMYFUNCTION("""COMPUTED_VALUE"""),"Kab. Demak")</f>
        <v>Kab. Demak</v>
      </c>
      <c r="L15" s="30">
        <f ca="1">IFERROR(__xludf.DUMMYFUNCTION("""COMPUTED_VALUE"""),4022.17)</f>
        <v>4022.17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ht="16.5" customHeight="1">
      <c r="A16" s="33">
        <v>8</v>
      </c>
      <c r="B16" s="34" t="s">
        <v>26</v>
      </c>
      <c r="C16" s="35">
        <f>'[1]T. Asepan'!C16+'[1]T. Rajang'!C16+'[1]T. Garangan'!C16+'[1]T. Virginia'!C16+'[1]T. Vorstenland'!C16</f>
        <v>3251</v>
      </c>
      <c r="D16" s="35">
        <f>'[1]T. Asepan'!D16+'[1]T. Rajang'!D16+'[1]T. Garangan'!D16+'[1]T. Virginia'!D16+'[1]T. Vorstenland'!D16</f>
        <v>3251</v>
      </c>
      <c r="E16" s="35">
        <f>'[1]T. Asepan'!E16+'[1]T. Rajang'!E16+'[1]T. Garangan'!E16+'[1]T. Virginia'!E16+'[1]T. Vorstenland'!E16</f>
        <v>2327.3799999999997</v>
      </c>
      <c r="F16" s="35">
        <f t="shared" si="0"/>
        <v>715.89664718548124</v>
      </c>
      <c r="G16" s="36">
        <f>'[1]T. Asepan'!G16+'[1]T. Rajang'!G16+'[1]T. Garangan'!G16+'[1]T. Virginia'!G16+'[1]T. Vorstenland'!G16</f>
        <v>11763</v>
      </c>
      <c r="H16" s="7"/>
      <c r="I16" s="34" t="str">
        <f ca="1">IFERROR(__xludf.DUMMYFUNCTION("""COMPUTED_VALUE"""),"Kab. Demak")</f>
        <v>Kab. Demak</v>
      </c>
      <c r="J16" s="30">
        <f ca="1">IFERROR(__xludf.DUMMYFUNCTION("""COMPUTED_VALUE"""),2962)</f>
        <v>2962</v>
      </c>
      <c r="K16" s="34" t="str">
        <f ca="1">IFERROR(__xludf.DUMMYFUNCTION("""COMPUTED_VALUE"""),"Kab. Wonogiri")</f>
        <v>Kab. Wonogiri</v>
      </c>
      <c r="L16" s="30">
        <f ca="1">IFERROR(__xludf.DUMMYFUNCTION("""COMPUTED_VALUE"""),3951.88)</f>
        <v>3951.88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ht="16.5" customHeight="1">
      <c r="A17" s="33">
        <v>9</v>
      </c>
      <c r="B17" s="34" t="s">
        <v>27</v>
      </c>
      <c r="C17" s="35">
        <f>'[1]T. Asepan'!C17+'[1]T. Rajang'!C17+'[1]T. Garangan'!C17+'[1]T. Virginia'!C17+'[1]T. Vorstenland'!C17</f>
        <v>4270</v>
      </c>
      <c r="D17" s="35">
        <f>'[1]T. Asepan'!D17+'[1]T. Rajang'!D17+'[1]T. Garangan'!D17+'[1]T. Virginia'!D17+'[1]T. Vorstenland'!D17</f>
        <v>4270</v>
      </c>
      <c r="E17" s="35">
        <f>'[1]T. Asepan'!E17+'[1]T. Rajang'!E17+'[1]T. Garangan'!E17+'[1]T. Virginia'!E17+'[1]T. Vorstenland'!E17</f>
        <v>4824.0200000000004</v>
      </c>
      <c r="F17" s="35">
        <f t="shared" si="0"/>
        <v>1129.7470725995315</v>
      </c>
      <c r="G17" s="36">
        <f>'[1]T. Asepan'!G17+'[1]T. Rajang'!G17+'[1]T. Garangan'!G17+'[1]T. Virginia'!G17+'[1]T. Vorstenland'!G17</f>
        <v>15844</v>
      </c>
      <c r="H17" s="7"/>
      <c r="I17" s="34" t="str">
        <f ca="1">IFERROR(__xludf.DUMMYFUNCTION("""COMPUTED_VALUE"""),"Kab. Wonosobo")</f>
        <v>Kab. Wonosobo</v>
      </c>
      <c r="J17" s="30">
        <f ca="1">IFERROR(__xludf.DUMMYFUNCTION("""COMPUTED_VALUE"""),2829.77999999999)</f>
        <v>2829.7799999999902</v>
      </c>
      <c r="K17" s="34" t="str">
        <f ca="1">IFERROR(__xludf.DUMMYFUNCTION("""COMPUTED_VALUE"""),"Kab. Klaten")</f>
        <v>Kab. Klaten</v>
      </c>
      <c r="L17" s="30">
        <f ca="1">IFERROR(__xludf.DUMMYFUNCTION("""COMPUTED_VALUE"""),2339.85)</f>
        <v>2339.85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ht="16.5" customHeight="1">
      <c r="A18" s="33">
        <v>10</v>
      </c>
      <c r="B18" s="34" t="s">
        <v>28</v>
      </c>
      <c r="C18" s="35">
        <f>'[1]T. Asepan'!C18+'[1]T. Rajang'!C18+'[1]T. Garangan'!C18+'[1]T. Virginia'!C18+'[1]T. Vorstenland'!C18</f>
        <v>1388.87</v>
      </c>
      <c r="D18" s="35">
        <f>'[1]T. Asepan'!D18+'[1]T. Rajang'!D18+'[1]T. Garangan'!D18+'[1]T. Virginia'!D18+'[1]T. Vorstenland'!D18</f>
        <v>1388.87</v>
      </c>
      <c r="E18" s="35">
        <f>'[1]T. Asepan'!E18+'[1]T. Rajang'!E18+'[1]T. Garangan'!E18+'[1]T. Virginia'!E18+'[1]T. Vorstenland'!E18</f>
        <v>2339.85</v>
      </c>
      <c r="F18" s="35">
        <f t="shared" si="0"/>
        <v>1684.7149121228049</v>
      </c>
      <c r="G18" s="36">
        <f>'[1]T. Asepan'!G18+'[1]T. Rajang'!G18+'[1]T. Garangan'!G18+'[1]T. Virginia'!G18+'[1]T. Vorstenland'!G18</f>
        <v>4301</v>
      </c>
      <c r="H18" s="7"/>
      <c r="I18" s="34" t="str">
        <f ca="1">IFERROR(__xludf.DUMMYFUNCTION("""COMPUTED_VALUE"""),"Kab. Wonogiri")</f>
        <v>Kab. Wonogiri</v>
      </c>
      <c r="J18" s="30">
        <f ca="1">IFERROR(__xludf.DUMMYFUNCTION("""COMPUTED_VALUE"""),2219)</f>
        <v>2219</v>
      </c>
      <c r="K18" s="34" t="str">
        <f ca="1">IFERROR(__xludf.DUMMYFUNCTION("""COMPUTED_VALUE"""),"Kab. Magelang")</f>
        <v>Kab. Magelang</v>
      </c>
      <c r="L18" s="30">
        <f ca="1">IFERROR(__xludf.DUMMYFUNCTION("""COMPUTED_VALUE"""),2327.37999999999)</f>
        <v>2327.3799999999901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ht="16.5" customHeight="1">
      <c r="A19" s="33">
        <v>11</v>
      </c>
      <c r="B19" s="34" t="s">
        <v>29</v>
      </c>
      <c r="C19" s="35">
        <f>'[1]T. Asepan'!C19+'[1]T. Rajang'!C19+'[1]T. Garangan'!C19+'[1]T. Virginia'!C19+'[1]T. Vorstenland'!C19</f>
        <v>120</v>
      </c>
      <c r="D19" s="35">
        <f>'[1]T. Asepan'!D19+'[1]T. Rajang'!D19+'[1]T. Garangan'!D19+'[1]T. Virginia'!D19+'[1]T. Vorstenland'!D19</f>
        <v>120</v>
      </c>
      <c r="E19" s="35">
        <f>'[1]T. Asepan'!E19+'[1]T. Rajang'!E19+'[1]T. Garangan'!E19+'[1]T. Virginia'!E19+'[1]T. Vorstenland'!E19</f>
        <v>269</v>
      </c>
      <c r="F19" s="35">
        <f t="shared" si="0"/>
        <v>2241.6666666666665</v>
      </c>
      <c r="G19" s="36">
        <f>'[1]T. Asepan'!G19+'[1]T. Rajang'!G19+'[1]T. Garangan'!G19+'[1]T. Virginia'!G19+'[1]T. Vorstenland'!G19</f>
        <v>90</v>
      </c>
      <c r="H19" s="7"/>
      <c r="I19" s="34" t="str">
        <f ca="1">IFERROR(__xludf.DUMMYFUNCTION("""COMPUTED_VALUE"""),"Kab. Klaten")</f>
        <v>Kab. Klaten</v>
      </c>
      <c r="J19" s="30">
        <f ca="1">IFERROR(__xludf.DUMMYFUNCTION("""COMPUTED_VALUE"""),1388.87)</f>
        <v>1388.87</v>
      </c>
      <c r="K19" s="34" t="str">
        <f ca="1">IFERROR(__xludf.DUMMYFUNCTION("""COMPUTED_VALUE"""),"Kab. Wonosobo")</f>
        <v>Kab. Wonosobo</v>
      </c>
      <c r="L19" s="30">
        <f ca="1">IFERROR(__xludf.DUMMYFUNCTION("""COMPUTED_VALUE"""),2260.97)</f>
        <v>2260.9699999999998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6.5" customHeight="1">
      <c r="A20" s="33">
        <v>12</v>
      </c>
      <c r="B20" s="34" t="s">
        <v>30</v>
      </c>
      <c r="C20" s="35">
        <f>'[1]T. Asepan'!C20+'[1]T. Rajang'!C20+'[1]T. Garangan'!C20+'[1]T. Virginia'!C20+'[1]T. Vorstenland'!C20</f>
        <v>2219</v>
      </c>
      <c r="D20" s="35">
        <f>'[1]T. Asepan'!D20+'[1]T. Rajang'!D20+'[1]T. Garangan'!D20+'[1]T. Virginia'!D20+'[1]T. Vorstenland'!D20</f>
        <v>2219</v>
      </c>
      <c r="E20" s="35">
        <f>'[1]T. Asepan'!E20+'[1]T. Rajang'!E20+'[1]T. Garangan'!E20+'[1]T. Virginia'!E20+'[1]T. Vorstenland'!E20</f>
        <v>3951.88</v>
      </c>
      <c r="F20" s="35">
        <f t="shared" si="0"/>
        <v>1780.9283461018476</v>
      </c>
      <c r="G20" s="36">
        <f>'[1]T. Asepan'!G20+'[1]T. Rajang'!G20+'[1]T. Garangan'!G20+'[1]T. Virginia'!G20+'[1]T. Vorstenland'!G20</f>
        <v>7921</v>
      </c>
      <c r="H20" s="7"/>
      <c r="I20" s="34" t="str">
        <f ca="1">IFERROR(__xludf.DUMMYFUNCTION("""COMPUTED_VALUE"""),"Kab. Pati")</f>
        <v>Kab. Pati</v>
      </c>
      <c r="J20" s="30">
        <f ca="1">IFERROR(__xludf.DUMMYFUNCTION("""COMPUTED_VALUE"""),917.8)</f>
        <v>917.8</v>
      </c>
      <c r="K20" s="34" t="str">
        <f ca="1">IFERROR(__xludf.DUMMYFUNCTION("""COMPUTED_VALUE"""),"Kab. Pati")</f>
        <v>Kab. Pati</v>
      </c>
      <c r="L20" s="30">
        <f ca="1">IFERROR(__xludf.DUMMYFUNCTION("""COMPUTED_VALUE"""),1587.87)</f>
        <v>1587.87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6.5" customHeight="1">
      <c r="A21" s="33">
        <v>13</v>
      </c>
      <c r="B21" s="34" t="s">
        <v>31</v>
      </c>
      <c r="C21" s="35">
        <f>'[1]T. Asepan'!C21+'[1]T. Rajang'!C21+'[1]T. Garangan'!C21+'[1]T. Virginia'!C21+'[1]T. Vorstenland'!C21</f>
        <v>262.2</v>
      </c>
      <c r="D21" s="35">
        <f>'[1]T. Asepan'!D21+'[1]T. Rajang'!D21+'[1]T. Garangan'!D21+'[1]T. Virginia'!D21+'[1]T. Vorstenland'!D21</f>
        <v>262.2</v>
      </c>
      <c r="E21" s="35">
        <f>'[1]T. Asepan'!E21+'[1]T. Rajang'!E21+'[1]T. Garangan'!E21+'[1]T. Virginia'!E21+'[1]T. Vorstenland'!E21</f>
        <v>209.76</v>
      </c>
      <c r="F21" s="35">
        <f t="shared" si="0"/>
        <v>800</v>
      </c>
      <c r="G21" s="36">
        <f>'[1]T. Asepan'!G21+'[1]T. Rajang'!G21+'[1]T. Garangan'!G21+'[1]T. Virginia'!G21+'[1]T. Vorstenland'!G21</f>
        <v>673</v>
      </c>
      <c r="H21" s="7"/>
      <c r="I21" s="34" t="str">
        <f ca="1">IFERROR(__xludf.DUMMYFUNCTION("""COMPUTED_VALUE"""),"Kab. Kebumen")</f>
        <v>Kab. Kebumen</v>
      </c>
      <c r="J21" s="30">
        <f ca="1">IFERROR(__xludf.DUMMYFUNCTION("""COMPUTED_VALUE"""),918.45)</f>
        <v>918.45</v>
      </c>
      <c r="K21" s="34" t="str">
        <f ca="1">IFERROR(__xludf.DUMMYFUNCTION("""COMPUTED_VALUE"""),"Kab. Kebumen")</f>
        <v>Kab. Kebumen</v>
      </c>
      <c r="L21" s="30">
        <f ca="1">IFERROR(__xludf.DUMMYFUNCTION("""COMPUTED_VALUE"""),980.35)</f>
        <v>980.35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6.5" customHeight="1">
      <c r="A22" s="33">
        <v>14</v>
      </c>
      <c r="B22" s="34" t="s">
        <v>32</v>
      </c>
      <c r="C22" s="35">
        <f>'[1]T. Asepan'!C22+'[1]T. Rajang'!C22+'[1]T. Garangan'!C22+'[1]T. Virginia'!C22+'[1]T. Vorstenland'!C22</f>
        <v>251</v>
      </c>
      <c r="D22" s="35">
        <f>'[1]T. Asepan'!D22+'[1]T. Rajang'!D22+'[1]T. Garangan'!D22+'[1]T. Virginia'!D22+'[1]T. Vorstenland'!D22</f>
        <v>248.9</v>
      </c>
      <c r="E22" s="35">
        <f>'[1]T. Asepan'!E22+'[1]T. Rajang'!E22+'[1]T. Garangan'!E22+'[1]T. Virginia'!E22+'[1]T. Vorstenland'!E22</f>
        <v>457.71</v>
      </c>
      <c r="F22" s="35">
        <f t="shared" si="0"/>
        <v>1838.9312977099237</v>
      </c>
      <c r="G22" s="36">
        <f>'[1]T. Asepan'!G22+'[1]T. Rajang'!G22+'[1]T. Garangan'!G22+'[1]T. Virginia'!G22+'[1]T. Vorstenland'!G22</f>
        <v>384</v>
      </c>
      <c r="H22" s="7"/>
      <c r="I22" s="34" t="str">
        <f ca="1">IFERROR(__xludf.DUMMYFUNCTION("""COMPUTED_VALUE"""),"Kab. Semarang")</f>
        <v>Kab. Semarang</v>
      </c>
      <c r="J22" s="30">
        <f ca="1">IFERROR(__xludf.DUMMYFUNCTION("""COMPUTED_VALUE"""),668.2)</f>
        <v>668.2</v>
      </c>
      <c r="K22" s="34" t="str">
        <f ca="1">IFERROR(__xludf.DUMMYFUNCTION("""COMPUTED_VALUE"""),"Kab. Semarang")</f>
        <v>Kab. Semarang</v>
      </c>
      <c r="L22" s="30">
        <f ca="1">IFERROR(__xludf.DUMMYFUNCTION("""COMPUTED_VALUE"""),926.98)</f>
        <v>926.98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6.5" customHeight="1">
      <c r="A23" s="33">
        <v>15</v>
      </c>
      <c r="B23" s="34" t="s">
        <v>33</v>
      </c>
      <c r="C23" s="35">
        <f>'[1]T. Asepan'!C23+'[1]T. Rajang'!C23+'[1]T. Garangan'!C23+'[1]T. Virginia'!C23+'[1]T. Vorstenland'!C23</f>
        <v>4325.95</v>
      </c>
      <c r="D23" s="35">
        <f>'[1]T. Asepan'!D23+'[1]T. Rajang'!D23+'[1]T. Garangan'!D23+'[1]T. Virginia'!D23+'[1]T. Vorstenland'!D23</f>
        <v>4325.95</v>
      </c>
      <c r="E23" s="35">
        <f>'[1]T. Asepan'!E23+'[1]T. Rajang'!E23+'[1]T. Garangan'!E23+'[1]T. Virginia'!E23+'[1]T. Vorstenland'!E23</f>
        <v>7956.16</v>
      </c>
      <c r="F23" s="35">
        <f t="shared" si="0"/>
        <v>1839.1705868075221</v>
      </c>
      <c r="G23" s="36">
        <f>'[1]T. Asepan'!G23+'[1]T. Rajang'!G23+'[1]T. Garangan'!G23+'[1]T. Virginia'!G23+'[1]T. Vorstenland'!G23</f>
        <v>11114</v>
      </c>
      <c r="H23" s="7"/>
      <c r="I23" s="34" t="str">
        <f ca="1">IFERROR(__xludf.DUMMYFUNCTION("""COMPUTED_VALUE"""),"Kab. Banjarnegara")</f>
        <v>Kab. Banjarnegara</v>
      </c>
      <c r="J23" s="30">
        <f ca="1">IFERROR(__xludf.DUMMYFUNCTION("""COMPUTED_VALUE"""),491)</f>
        <v>491</v>
      </c>
      <c r="K23" s="34" t="str">
        <f ca="1">IFERROR(__xludf.DUMMYFUNCTION("""COMPUTED_VALUE"""),"Kab. Sragen")</f>
        <v>Kab. Sragen</v>
      </c>
      <c r="L23" s="30">
        <f ca="1">IFERROR(__xludf.DUMMYFUNCTION("""COMPUTED_VALUE"""),457.71)</f>
        <v>457.71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6.5" customHeight="1">
      <c r="A24" s="33">
        <v>16</v>
      </c>
      <c r="B24" s="34" t="s">
        <v>34</v>
      </c>
      <c r="C24" s="35">
        <f>'[1]T. Asepan'!C24+'[1]T. Rajang'!C24+'[1]T. Garangan'!C24+'[1]T. Virginia'!C24+'[1]T. Vorstenland'!C24</f>
        <v>2965.45</v>
      </c>
      <c r="D24" s="35">
        <f>'[1]T. Asepan'!D24+'[1]T. Rajang'!D24+'[1]T. Garangan'!D24+'[1]T. Virginia'!D24+'[1]T. Vorstenland'!D24</f>
        <v>2800.3</v>
      </c>
      <c r="E24" s="35">
        <f>'[1]T. Asepan'!E24+'[1]T. Rajang'!E24+'[1]T. Garangan'!E24+'[1]T. Virginia'!E24+'[1]T. Vorstenland'!E24</f>
        <v>4739.8399999999992</v>
      </c>
      <c r="F24" s="35">
        <f t="shared" si="0"/>
        <v>1692.6186480019994</v>
      </c>
      <c r="G24" s="36">
        <f>'[1]T. Asepan'!G24+'[1]T. Rajang'!G24+'[1]T. Garangan'!G24+'[1]T. Virginia'!G24+'[1]T. Vorstenland'!G24</f>
        <v>5018</v>
      </c>
      <c r="H24" s="7"/>
      <c r="I24" s="34" t="str">
        <f ca="1">IFERROR(__xludf.DUMMYFUNCTION("""COMPUTED_VALUE"""),"Kab. Pemalang")</f>
        <v>Kab. Pemalang</v>
      </c>
      <c r="J24" s="30">
        <f ca="1">IFERROR(__xludf.DUMMYFUNCTION("""COMPUTED_VALUE"""),388.17)</f>
        <v>388.17</v>
      </c>
      <c r="K24" s="34" t="str">
        <f ca="1">IFERROR(__xludf.DUMMYFUNCTION("""COMPUTED_VALUE"""),"Kab. Pemalang")</f>
        <v>Kab. Pemalang</v>
      </c>
      <c r="L24" s="30">
        <f ca="1">IFERROR(__xludf.DUMMYFUNCTION("""COMPUTED_VALUE"""),455)</f>
        <v>455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6.5" customHeight="1">
      <c r="A25" s="33">
        <v>17</v>
      </c>
      <c r="B25" s="34" t="s">
        <v>35</v>
      </c>
      <c r="C25" s="35">
        <f>'[1]T. Asepan'!C25+'[1]T. Rajang'!C25+'[1]T. Garangan'!C25+'[1]T. Virginia'!C25+'[1]T. Vorstenland'!C25</f>
        <v>7318</v>
      </c>
      <c r="D25" s="35">
        <f>'[1]T. Asepan'!D25+'[1]T. Rajang'!D25+'[1]T. Garangan'!D25+'[1]T. Virginia'!D25+'[1]T. Vorstenland'!D25</f>
        <v>7318</v>
      </c>
      <c r="E25" s="35">
        <f>'[1]T. Asepan'!E25+'[1]T. Rajang'!E25+'[1]T. Garangan'!E25+'[1]T. Virginia'!E25+'[1]T. Vorstenland'!E25</f>
        <v>14636</v>
      </c>
      <c r="F25" s="35">
        <f t="shared" si="0"/>
        <v>2000</v>
      </c>
      <c r="G25" s="36">
        <f>'[1]T. Asepan'!G25+'[1]T. Rajang'!G25+'[1]T. Garangan'!G25+'[1]T. Virginia'!G25+'[1]T. Vorstenland'!G25</f>
        <v>4469</v>
      </c>
      <c r="H25" s="7"/>
      <c r="I25" s="34" t="str">
        <f ca="1">IFERROR(__xludf.DUMMYFUNCTION("""COMPUTED_VALUE"""),"Kab. Purworejo")</f>
        <v>Kab. Purworejo</v>
      </c>
      <c r="J25" s="30">
        <f ca="1">IFERROR(__xludf.DUMMYFUNCTION("""COMPUTED_VALUE"""),311.44)</f>
        <v>311.44</v>
      </c>
      <c r="K25" s="34" t="str">
        <f ca="1">IFERROR(__xludf.DUMMYFUNCTION("""COMPUTED_VALUE"""),"Kab. Banjarnegara")</f>
        <v>Kab. Banjarnegara</v>
      </c>
      <c r="L25" s="30">
        <f ca="1">IFERROR(__xludf.DUMMYFUNCTION("""COMPUTED_VALUE"""),430.48)</f>
        <v>430.48</v>
      </c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6.5" customHeight="1">
      <c r="A26" s="33">
        <v>18</v>
      </c>
      <c r="B26" s="34" t="s">
        <v>36</v>
      </c>
      <c r="C26" s="35">
        <f>'[1]T. Asepan'!C26+'[1]T. Rajang'!C26+'[1]T. Garangan'!C26+'[1]T. Virginia'!C26+'[1]T. Vorstenland'!C26</f>
        <v>938.4</v>
      </c>
      <c r="D26" s="35">
        <f>'[1]T. Asepan'!D26+'[1]T. Rajang'!D26+'[1]T. Garangan'!D26+'[1]T. Virginia'!D26+'[1]T. Vorstenland'!D26</f>
        <v>917.8</v>
      </c>
      <c r="E26" s="35">
        <f>'[1]T. Asepan'!E26+'[1]T. Rajang'!E26+'[1]T. Garangan'!E26+'[1]T. Virginia'!E26+'[1]T. Vorstenland'!E26</f>
        <v>1587.87</v>
      </c>
      <c r="F26" s="35">
        <f t="shared" si="0"/>
        <v>1730.082806711702</v>
      </c>
      <c r="G26" s="36">
        <f>'[1]T. Asepan'!G26+'[1]T. Rajang'!G26+'[1]T. Garangan'!G26+'[1]T. Virginia'!G26+'[1]T. Vorstenland'!G26</f>
        <v>1307</v>
      </c>
      <c r="H26" s="7"/>
      <c r="I26" s="34" t="str">
        <f ca="1">IFERROR(__xludf.DUMMYFUNCTION("""COMPUTED_VALUE"""),"Kab. Batang")</f>
        <v>Kab. Batang</v>
      </c>
      <c r="J26" s="30">
        <f ca="1">IFERROR(__xludf.DUMMYFUNCTION("""COMPUTED_VALUE"""),265)</f>
        <v>265</v>
      </c>
      <c r="K26" s="34" t="str">
        <f ca="1">IFERROR(__xludf.DUMMYFUNCTION("""COMPUTED_VALUE"""),"Kab. Purworejo")</f>
        <v>Kab. Purworejo</v>
      </c>
      <c r="L26" s="30">
        <f ca="1">IFERROR(__xludf.DUMMYFUNCTION("""COMPUTED_VALUE"""),292.41)</f>
        <v>292.41000000000003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6.5" customHeight="1">
      <c r="A27" s="33">
        <v>19</v>
      </c>
      <c r="B27" s="34" t="s">
        <v>37</v>
      </c>
      <c r="C27" s="35">
        <f>'[1]T. Asepan'!C27+'[1]T. Rajang'!C27+'[1]T. Garangan'!C27+'[1]T. Virginia'!C27+'[1]T. Vorstenland'!C27</f>
        <v>12.2</v>
      </c>
      <c r="D27" s="35">
        <f>'[1]T. Asepan'!D27+'[1]T. Rajang'!D27+'[1]T. Garangan'!D27+'[1]T. Virginia'!D27+'[1]T. Vorstenland'!D27</f>
        <v>12.2</v>
      </c>
      <c r="E27" s="35">
        <f>'[1]T. Asepan'!E27+'[1]T. Rajang'!E27+'[1]T. Garangan'!E27+'[1]T. Virginia'!E27+'[1]T. Vorstenland'!E27</f>
        <v>22.63</v>
      </c>
      <c r="F27" s="35">
        <f t="shared" si="0"/>
        <v>1854.9180327868853</v>
      </c>
      <c r="G27" s="36">
        <f>'[1]T. Asepan'!G27+'[1]T. Rajang'!G27+'[1]T. Garangan'!G27+'[1]T. Virginia'!G27+'[1]T. Vorstenland'!G27</f>
        <v>13</v>
      </c>
      <c r="H27" s="7"/>
      <c r="I27" s="34" t="str">
        <f ca="1">IFERROR(__xludf.DUMMYFUNCTION("""COMPUTED_VALUE"""),"Kab. Karanganyar")</f>
        <v>Kab. Karanganyar</v>
      </c>
      <c r="J27" s="30">
        <f ca="1">IFERROR(__xludf.DUMMYFUNCTION("""COMPUTED_VALUE"""),262.2)</f>
        <v>262.2</v>
      </c>
      <c r="K27" s="34" t="str">
        <f ca="1">IFERROR(__xludf.DUMMYFUNCTION("""COMPUTED_VALUE"""),"Kab. Sukoharjo")</f>
        <v>Kab. Sukoharjo</v>
      </c>
      <c r="L27" s="30">
        <f ca="1">IFERROR(__xludf.DUMMYFUNCTION("""COMPUTED_VALUE"""),269)</f>
        <v>269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6.5" customHeight="1">
      <c r="A28" s="33">
        <v>20</v>
      </c>
      <c r="B28" s="34" t="s">
        <v>38</v>
      </c>
      <c r="C28" s="35">
        <f>'[1]T. Asepan'!C28+'[1]T. Rajang'!C28+'[1]T. Garangan'!C28+'[1]T. Virginia'!C28+'[1]T. Vorstenland'!C28</f>
        <v>3.5</v>
      </c>
      <c r="D28" s="35">
        <f>'[1]T. Asepan'!D28+'[1]T. Rajang'!D28+'[1]T. Garangan'!D28+'[1]T. Virginia'!D28+'[1]T. Vorstenland'!D28</f>
        <v>3.5</v>
      </c>
      <c r="E28" s="35">
        <f>'[1]T. Asepan'!E28+'[1]T. Rajang'!E28+'[1]T. Garangan'!E28+'[1]T. Virginia'!E28+'[1]T. Vorstenland'!E28</f>
        <v>4</v>
      </c>
      <c r="F28" s="35">
        <f t="shared" si="0"/>
        <v>1142.8571428571429</v>
      </c>
      <c r="G28" s="36">
        <f>'[1]T. Asepan'!G28+'[1]T. Rajang'!G28+'[1]T. Garangan'!G28+'[1]T. Virginia'!G28+'[1]T. Vorstenland'!G28</f>
        <v>0</v>
      </c>
      <c r="H28" s="7"/>
      <c r="I28" s="34" t="str">
        <f ca="1">IFERROR(__xludf.DUMMYFUNCTION("""COMPUTED_VALUE"""),"Kab. Sragen")</f>
        <v>Kab. Sragen</v>
      </c>
      <c r="J28" s="30">
        <f ca="1">IFERROR(__xludf.DUMMYFUNCTION("""COMPUTED_VALUE"""),248.9)</f>
        <v>248.9</v>
      </c>
      <c r="K28" s="34" t="str">
        <f ca="1">IFERROR(__xludf.DUMMYFUNCTION("""COMPUTED_VALUE"""),"Kab. Batang")</f>
        <v>Kab. Batang</v>
      </c>
      <c r="L28" s="30">
        <f ca="1">IFERROR(__xludf.DUMMYFUNCTION("""COMPUTED_VALUE"""),258.34)</f>
        <v>258.33999999999997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6.5" customHeight="1">
      <c r="A29" s="33">
        <v>21</v>
      </c>
      <c r="B29" s="34" t="s">
        <v>39</v>
      </c>
      <c r="C29" s="35">
        <f>'[1]T. Asepan'!C29+'[1]T. Rajang'!C29+'[1]T. Garangan'!C29+'[1]T. Virginia'!C29+'[1]T. Vorstenland'!C29</f>
        <v>2965</v>
      </c>
      <c r="D29" s="35">
        <f>'[1]T. Asepan'!D29+'[1]T. Rajang'!D29+'[1]T. Garangan'!D29+'[1]T. Virginia'!D29+'[1]T. Vorstenland'!D29</f>
        <v>2962</v>
      </c>
      <c r="E29" s="35">
        <f>'[1]T. Asepan'!E29+'[1]T. Rajang'!E29+'[1]T. Garangan'!E29+'[1]T. Virginia'!E29+'[1]T. Vorstenland'!E29</f>
        <v>4022.17</v>
      </c>
      <c r="F29" s="35">
        <f t="shared" si="0"/>
        <v>1357.9237002025659</v>
      </c>
      <c r="G29" s="36">
        <f>'[1]T. Asepan'!G29+'[1]T. Rajang'!G29+'[1]T. Garangan'!G29+'[1]T. Virginia'!G29+'[1]T. Vorstenland'!G29</f>
        <v>12333</v>
      </c>
      <c r="H29" s="7"/>
      <c r="I29" s="34" t="str">
        <f ca="1">IFERROR(__xludf.DUMMYFUNCTION("""COMPUTED_VALUE"""),"Kab. Sukoharjo")</f>
        <v>Kab. Sukoharjo</v>
      </c>
      <c r="J29" s="30">
        <f ca="1">IFERROR(__xludf.DUMMYFUNCTION("""COMPUTED_VALUE"""),120)</f>
        <v>120</v>
      </c>
      <c r="K29" s="34" t="str">
        <f ca="1">IFERROR(__xludf.DUMMYFUNCTION("""COMPUTED_VALUE"""),"Kab. Karanganyar")</f>
        <v>Kab. Karanganyar</v>
      </c>
      <c r="L29" s="30">
        <f ca="1">IFERROR(__xludf.DUMMYFUNCTION("""COMPUTED_VALUE"""),209.76)</f>
        <v>209.76</v>
      </c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6.5" customHeight="1">
      <c r="A30" s="33">
        <v>22</v>
      </c>
      <c r="B30" s="34" t="s">
        <v>40</v>
      </c>
      <c r="C30" s="35">
        <f>'[1]T. Asepan'!C30+'[1]T. Rajang'!C30+'[1]T. Garangan'!C30+'[1]T. Virginia'!C30+'[1]T. Vorstenland'!C30</f>
        <v>668.2</v>
      </c>
      <c r="D30" s="35">
        <f>'[1]T. Asepan'!D30+'[1]T. Rajang'!D30+'[1]T. Garangan'!D30+'[1]T. Virginia'!D30+'[1]T. Vorstenland'!D30</f>
        <v>668.2</v>
      </c>
      <c r="E30" s="35">
        <f>'[1]T. Asepan'!E30+'[1]T. Rajang'!E30+'[1]T. Garangan'!E30+'[1]T. Virginia'!E30+'[1]T. Vorstenland'!E30</f>
        <v>926.98</v>
      </c>
      <c r="F30" s="35">
        <f t="shared" si="0"/>
        <v>1387.2792577072732</v>
      </c>
      <c r="G30" s="36">
        <f>'[1]T. Asepan'!G30+'[1]T. Rajang'!G30+'[1]T. Garangan'!G30+'[1]T. Virginia'!G30+'[1]T. Vorstenland'!G30</f>
        <v>2734</v>
      </c>
      <c r="H30" s="7"/>
      <c r="I30" s="34" t="str">
        <f ca="1">IFERROR(__xludf.DUMMYFUNCTION("""COMPUTED_VALUE"""),"Kab. Tegal")</f>
        <v>Kab. Tegal</v>
      </c>
      <c r="J30" s="30">
        <f ca="1">IFERROR(__xludf.DUMMYFUNCTION("""COMPUTED_VALUE"""),115.37)</f>
        <v>115.37</v>
      </c>
      <c r="K30" s="34" t="str">
        <f ca="1">IFERROR(__xludf.DUMMYFUNCTION("""COMPUTED_VALUE"""),"Kab. Tegal")</f>
        <v>Kab. Tegal</v>
      </c>
      <c r="L30" s="30">
        <f ca="1">IFERROR(__xludf.DUMMYFUNCTION("""COMPUTED_VALUE"""),101.97)</f>
        <v>101.97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6.5" customHeight="1">
      <c r="A31" s="33">
        <v>23</v>
      </c>
      <c r="B31" s="34" t="s">
        <v>41</v>
      </c>
      <c r="C31" s="35">
        <f>'[1]T. Asepan'!C31+'[1]T. Rajang'!C31+'[1]T. Garangan'!C31+'[1]T. Virginia'!C31+'[1]T. Vorstenland'!C31</f>
        <v>14094.42</v>
      </c>
      <c r="D31" s="35">
        <f>'[1]T. Asepan'!D31+'[1]T. Rajang'!D31+'[1]T. Garangan'!D31+'[1]T. Virginia'!D31+'[1]T. Vorstenland'!D31</f>
        <v>14094.42</v>
      </c>
      <c r="E31" s="35">
        <f>'[1]T. Asepan'!E31+'[1]T. Rajang'!E31+'[1]T. Garangan'!E31+'[1]T. Virginia'!E31+'[1]T. Vorstenland'!E31</f>
        <v>9438.9599999999991</v>
      </c>
      <c r="F31" s="35">
        <f t="shared" si="0"/>
        <v>669.69481539502863</v>
      </c>
      <c r="G31" s="36">
        <f>'[1]T. Asepan'!G31+'[1]T. Rajang'!G31+'[1]T. Garangan'!G31+'[1]T. Virginia'!G31+'[1]T. Vorstenland'!G31</f>
        <v>42084</v>
      </c>
      <c r="H31" s="7"/>
      <c r="I31" s="34" t="str">
        <f ca="1">IFERROR(__xludf.DUMMYFUNCTION("""COMPUTED_VALUE"""),"Kab. Banyumas")</f>
        <v>Kab. Banyumas</v>
      </c>
      <c r="J31" s="30">
        <f ca="1">IFERROR(__xludf.DUMMYFUNCTION("""COMPUTED_VALUE"""),106.96)</f>
        <v>106.96</v>
      </c>
      <c r="K31" s="34" t="str">
        <f ca="1">IFERROR(__xludf.DUMMYFUNCTION("""COMPUTED_VALUE"""),"Kab. Banyumas")</f>
        <v>Kab. Banyumas</v>
      </c>
      <c r="L31" s="30">
        <f ca="1">IFERROR(__xludf.DUMMYFUNCTION("""COMPUTED_VALUE"""),56.52)</f>
        <v>56.52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6.5" customHeight="1">
      <c r="A32" s="33">
        <v>24</v>
      </c>
      <c r="B32" s="34" t="s">
        <v>42</v>
      </c>
      <c r="C32" s="35">
        <f>'[1]T. Asepan'!C32+'[1]T. Rajang'!C32+'[1]T. Garangan'!C32+'[1]T. Virginia'!C32+'[1]T. Vorstenland'!C32</f>
        <v>4378.95</v>
      </c>
      <c r="D32" s="35">
        <f>'[1]T. Asepan'!D32+'[1]T. Rajang'!D32+'[1]T. Garangan'!D32+'[1]T. Virginia'!D32+'[1]T. Vorstenland'!D32</f>
        <v>4378.95</v>
      </c>
      <c r="E32" s="35">
        <f>'[1]T. Asepan'!E32+'[1]T. Rajang'!E32+'[1]T. Garangan'!E32+'[1]T. Virginia'!E32+'[1]T. Vorstenland'!E32</f>
        <v>6612.56</v>
      </c>
      <c r="F32" s="35">
        <f t="shared" si="0"/>
        <v>1510.0789001929686</v>
      </c>
      <c r="G32" s="36">
        <f>'[1]T. Asepan'!G32+'[1]T. Rajang'!G32+'[1]T. Garangan'!G32+'[1]T. Virginia'!G32+'[1]T. Vorstenland'!G32</f>
        <v>9911</v>
      </c>
      <c r="H32" s="7"/>
      <c r="I32" s="34" t="str">
        <f ca="1">IFERROR(__xludf.DUMMYFUNCTION("""COMPUTED_VALUE"""),"Kab. Cilacap")</f>
        <v>Kab. Cilacap</v>
      </c>
      <c r="J32" s="30">
        <f ca="1">IFERROR(__xludf.DUMMYFUNCTION("""COMPUTED_VALUE"""),40.28)</f>
        <v>40.28</v>
      </c>
      <c r="K32" s="34" t="str">
        <f ca="1">IFERROR(__xludf.DUMMYFUNCTION("""COMPUTED_VALUE"""),"Kab. Cilacap")</f>
        <v>Kab. Cilacap</v>
      </c>
      <c r="L32" s="30">
        <f ca="1">IFERROR(__xludf.DUMMYFUNCTION("""COMPUTED_VALUE"""),36.67)</f>
        <v>36.67</v>
      </c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6.5" customHeight="1">
      <c r="A33" s="33">
        <v>25</v>
      </c>
      <c r="B33" s="34" t="s">
        <v>43</v>
      </c>
      <c r="C33" s="35">
        <f>'[1]T. Asepan'!C33+'[1]T. Rajang'!C33+'[1]T. Garangan'!C33+'[1]T. Virginia'!C33+'[1]T. Vorstenland'!C33</f>
        <v>265</v>
      </c>
      <c r="D33" s="35">
        <f>'[1]T. Asepan'!D33+'[1]T. Rajang'!D33+'[1]T. Garangan'!D33+'[1]T. Virginia'!D33+'[1]T. Vorstenland'!D33</f>
        <v>265</v>
      </c>
      <c r="E33" s="35">
        <f>'[1]T. Asepan'!E33+'[1]T. Rajang'!E33+'[1]T. Garangan'!E33+'[1]T. Virginia'!E33+'[1]T. Vorstenland'!E33</f>
        <v>258.33999999999997</v>
      </c>
      <c r="F33" s="35">
        <f t="shared" si="0"/>
        <v>974.86792452830173</v>
      </c>
      <c r="G33" s="36">
        <f>'[1]T. Asepan'!G33+'[1]T. Rajang'!G33+'[1]T. Garangan'!G33+'[1]T. Virginia'!G33+'[1]T. Vorstenland'!G33</f>
        <v>985</v>
      </c>
      <c r="H33" s="7"/>
      <c r="I33" s="34" t="str">
        <f ca="1">IFERROR(__xludf.DUMMYFUNCTION("""COMPUTED_VALUE"""),"Kab. Pekalongan")</f>
        <v>Kab. Pekalongan</v>
      </c>
      <c r="J33" s="30">
        <f ca="1">IFERROR(__xludf.DUMMYFUNCTION("""COMPUTED_VALUE"""),55)</f>
        <v>55</v>
      </c>
      <c r="K33" s="34" t="str">
        <f ca="1">IFERROR(__xludf.DUMMYFUNCTION("""COMPUTED_VALUE"""),"Kab. Pekalongan")</f>
        <v>Kab. Pekalongan</v>
      </c>
      <c r="L33" s="30">
        <f ca="1">IFERROR(__xludf.DUMMYFUNCTION("""COMPUTED_VALUE"""),33)</f>
        <v>33</v>
      </c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6.5" customHeight="1">
      <c r="A34" s="33">
        <v>26</v>
      </c>
      <c r="B34" s="34" t="s">
        <v>44</v>
      </c>
      <c r="C34" s="35">
        <f>'[1]T. Asepan'!C34+'[1]T. Rajang'!C34+'[1]T. Garangan'!C34+'[1]T. Virginia'!C34+'[1]T. Vorstenland'!C34</f>
        <v>55</v>
      </c>
      <c r="D34" s="35">
        <f>'[1]T. Asepan'!D34+'[1]T. Rajang'!D34+'[1]T. Garangan'!D34+'[1]T. Virginia'!D34+'[1]T. Vorstenland'!D34</f>
        <v>55</v>
      </c>
      <c r="E34" s="35">
        <f>'[1]T. Asepan'!E34+'[1]T. Rajang'!E34+'[1]T. Garangan'!E34+'[1]T. Virginia'!E34+'[1]T. Vorstenland'!E34</f>
        <v>33</v>
      </c>
      <c r="F34" s="35">
        <f t="shared" si="0"/>
        <v>600</v>
      </c>
      <c r="G34" s="36">
        <f>'[1]T. Asepan'!G34+'[1]T. Rajang'!G34+'[1]T. Garangan'!G34+'[1]T. Virginia'!G34+'[1]T. Vorstenland'!G34</f>
        <v>288</v>
      </c>
      <c r="H34" s="7"/>
      <c r="I34" s="34" t="str">
        <f ca="1">IFERROR(__xludf.DUMMYFUNCTION("""COMPUTED_VALUE"""),"Kab. Purbalingga")</f>
        <v>Kab. Purbalingga</v>
      </c>
      <c r="J34" s="30">
        <f ca="1">IFERROR(__xludf.DUMMYFUNCTION("""COMPUTED_VALUE"""),35.82)</f>
        <v>35.82</v>
      </c>
      <c r="K34" s="34" t="str">
        <f ca="1">IFERROR(__xludf.DUMMYFUNCTION("""COMPUTED_VALUE"""),"Kab. Kudus")</f>
        <v>Kab. Kudus</v>
      </c>
      <c r="L34" s="30">
        <f ca="1">IFERROR(__xludf.DUMMYFUNCTION("""COMPUTED_VALUE"""),22.63)</f>
        <v>22.63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</row>
    <row r="35" spans="1:37" ht="16.5" customHeight="1">
      <c r="A35" s="33">
        <v>27</v>
      </c>
      <c r="B35" s="34" t="s">
        <v>45</v>
      </c>
      <c r="C35" s="35">
        <f>'[1]T. Asepan'!C35+'[1]T. Rajang'!C35+'[1]T. Garangan'!C35+'[1]T. Virginia'!C35+'[1]T. Vorstenland'!C35</f>
        <v>388.17</v>
      </c>
      <c r="D35" s="35">
        <f>'[1]T. Asepan'!D35+'[1]T. Rajang'!D35+'[1]T. Garangan'!D35+'[1]T. Virginia'!D35+'[1]T. Vorstenland'!D35</f>
        <v>388.17</v>
      </c>
      <c r="E35" s="35">
        <f>'[1]T. Asepan'!E35+'[1]T. Rajang'!E35+'[1]T. Garangan'!E35+'[1]T. Virginia'!E35+'[1]T. Vorstenland'!E35</f>
        <v>455</v>
      </c>
      <c r="F35" s="35">
        <f t="shared" si="0"/>
        <v>1172.1668341190714</v>
      </c>
      <c r="G35" s="36">
        <f>'[1]T. Asepan'!G35+'[1]T. Rajang'!G35+'[1]T. Garangan'!G35+'[1]T. Virginia'!G35+'[1]T. Vorstenland'!G35</f>
        <v>1417</v>
      </c>
      <c r="H35" s="7"/>
      <c r="I35" s="34" t="str">
        <f ca="1">IFERROR(__xludf.DUMMYFUNCTION("""COMPUTED_VALUE"""),"Kab. Kudus")</f>
        <v>Kab. Kudus</v>
      </c>
      <c r="J35" s="30">
        <f ca="1">IFERROR(__xludf.DUMMYFUNCTION("""COMPUTED_VALUE"""),12.2)</f>
        <v>12.2</v>
      </c>
      <c r="K35" s="34" t="str">
        <f ca="1">IFERROR(__xludf.DUMMYFUNCTION("""COMPUTED_VALUE"""),"Kab. Purbalingga")</f>
        <v>Kab. Purbalingga</v>
      </c>
      <c r="L35" s="30">
        <f ca="1">IFERROR(__xludf.DUMMYFUNCTION("""COMPUTED_VALUE"""),20.69)</f>
        <v>20.69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</row>
    <row r="36" spans="1:37" ht="16.5" customHeight="1">
      <c r="A36" s="33">
        <v>28</v>
      </c>
      <c r="B36" s="34" t="s">
        <v>46</v>
      </c>
      <c r="C36" s="35">
        <f>'[1]T. Asepan'!C36+'[1]T. Rajang'!C36+'[1]T. Garangan'!C36+'[1]T. Virginia'!C36+'[1]T. Vorstenland'!C36</f>
        <v>119.6</v>
      </c>
      <c r="D36" s="35">
        <f>'[1]T. Asepan'!D36+'[1]T. Rajang'!D36+'[1]T. Garangan'!D36+'[1]T. Virginia'!D36+'[1]T. Vorstenland'!D36</f>
        <v>115.37</v>
      </c>
      <c r="E36" s="35">
        <f>'[1]T. Asepan'!E36+'[1]T. Rajang'!E36+'[1]T. Garangan'!E36+'[1]T. Virginia'!E36+'[1]T. Vorstenland'!E36</f>
        <v>101.97</v>
      </c>
      <c r="F36" s="35">
        <f t="shared" si="0"/>
        <v>883.85195458091357</v>
      </c>
      <c r="G36" s="36">
        <f>'[1]T. Asepan'!G36+'[1]T. Rajang'!G36+'[1]T. Garangan'!G36+'[1]T. Virginia'!G36+'[1]T. Vorstenland'!G36</f>
        <v>357</v>
      </c>
      <c r="H36" s="7"/>
      <c r="I36" s="34" t="str">
        <f ca="1">IFERROR(__xludf.DUMMYFUNCTION("""COMPUTED_VALUE"""),"Kab. Jepara")</f>
        <v>Kab. Jepara</v>
      </c>
      <c r="J36" s="30">
        <f ca="1">IFERROR(__xludf.DUMMYFUNCTION("""COMPUTED_VALUE"""),3.5)</f>
        <v>3.5</v>
      </c>
      <c r="K36" s="34" t="str">
        <f ca="1">IFERROR(__xludf.DUMMYFUNCTION("""COMPUTED_VALUE"""),"Kab. Jepara")</f>
        <v>Kab. Jepara</v>
      </c>
      <c r="L36" s="30">
        <f ca="1">IFERROR(__xludf.DUMMYFUNCTION("""COMPUTED_VALUE"""),4)</f>
        <v>4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6.5" customHeight="1">
      <c r="A37" s="33">
        <v>29</v>
      </c>
      <c r="B37" s="34" t="s">
        <v>47</v>
      </c>
      <c r="C37" s="35">
        <f>'[1]T. Asepan'!C37+'[1]T. Rajang'!C37+'[1]T. Garangan'!C37+'[1]T. Virginia'!C37+'[1]T. Vorstenland'!C37</f>
        <v>2</v>
      </c>
      <c r="D37" s="35">
        <f>'[1]T. Asepan'!D37+'[1]T. Rajang'!D37+'[1]T. Garangan'!D37+'[1]T. Virginia'!D37+'[1]T. Vorstenland'!D37</f>
        <v>2</v>
      </c>
      <c r="E37" s="35">
        <f>'[1]T. Asepan'!E37+'[1]T. Rajang'!E37+'[1]T. Garangan'!E37+'[1]T. Virginia'!E37+'[1]T. Vorstenland'!E37</f>
        <v>4</v>
      </c>
      <c r="F37" s="35">
        <f t="shared" si="0"/>
        <v>2000</v>
      </c>
      <c r="G37" s="36">
        <f>'[1]T. Asepan'!G37+'[1]T. Rajang'!G37+'[1]T. Garangan'!G37+'[1]T. Virginia'!G37+'[1]T. Vorstenland'!G37</f>
        <v>18</v>
      </c>
      <c r="H37" s="7"/>
      <c r="I37" s="34" t="str">
        <f ca="1">IFERROR(__xludf.DUMMYFUNCTION("""COMPUTED_VALUE"""),"Kab. Brebes")</f>
        <v>Kab. Brebes</v>
      </c>
      <c r="J37" s="30">
        <f ca="1">IFERROR(__xludf.DUMMYFUNCTION("""COMPUTED_VALUE"""),2)</f>
        <v>2</v>
      </c>
      <c r="K37" s="34" t="str">
        <f ca="1">IFERROR(__xludf.DUMMYFUNCTION("""COMPUTED_VALUE"""),"Kab. Brebes")</f>
        <v>Kab. Brebes</v>
      </c>
      <c r="L37" s="30">
        <f ca="1">IFERROR(__xludf.DUMMYFUNCTION("""COMPUTED_VALUE"""),4)</f>
        <v>4</v>
      </c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6.5" customHeight="1">
      <c r="A38" s="33">
        <v>30</v>
      </c>
      <c r="B38" s="34" t="s">
        <v>48</v>
      </c>
      <c r="C38" s="35">
        <f>'[1]T. Asepan'!C38+'[1]T. Rajang'!C38+'[1]T. Garangan'!C38+'[1]T. Virginia'!C38+'[1]T. Vorstenland'!C38</f>
        <v>0</v>
      </c>
      <c r="D38" s="35">
        <f>'[1]T. Asepan'!D38+'[1]T. Rajang'!D38+'[1]T. Garangan'!D38+'[1]T. Virginia'!D38+'[1]T. Vorstenland'!D38</f>
        <v>0</v>
      </c>
      <c r="E38" s="35">
        <f>'[1]T. Asepan'!E38+'[1]T. Rajang'!E38+'[1]T. Garangan'!E38+'[1]T. Virginia'!E38+'[1]T. Vorstenland'!E38</f>
        <v>0</v>
      </c>
      <c r="F38" s="35">
        <f t="shared" si="0"/>
        <v>0</v>
      </c>
      <c r="G38" s="36">
        <f>'[1]T. Asepan'!G38+'[1]T. Rajang'!G38+'[1]T. Garangan'!G38+'[1]T. Virginia'!G38+'[1]T. Vorstenland'!G38</f>
        <v>0</v>
      </c>
      <c r="H38" s="7"/>
      <c r="I38" s="34"/>
      <c r="J38" s="30"/>
      <c r="K38" s="34"/>
      <c r="L38" s="30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6.5" customHeight="1">
      <c r="A39" s="33">
        <v>31</v>
      </c>
      <c r="B39" s="34" t="s">
        <v>49</v>
      </c>
      <c r="C39" s="35">
        <f>'[1]T. Asepan'!C39+'[1]T. Rajang'!C39+'[1]T. Garangan'!C39+'[1]T. Virginia'!C39+'[1]T. Vorstenland'!C39</f>
        <v>0</v>
      </c>
      <c r="D39" s="35">
        <f>'[1]T. Asepan'!D39+'[1]T. Rajang'!D39+'[1]T. Garangan'!D39+'[1]T. Virginia'!D39+'[1]T. Vorstenland'!D39</f>
        <v>0</v>
      </c>
      <c r="E39" s="35">
        <f>'[1]T. Asepan'!E39+'[1]T. Rajang'!E39+'[1]T. Garangan'!E39+'[1]T. Virginia'!E39+'[1]T. Vorstenland'!E39</f>
        <v>0</v>
      </c>
      <c r="F39" s="35">
        <f t="shared" si="0"/>
        <v>0</v>
      </c>
      <c r="G39" s="36">
        <f>'[1]T. Asepan'!G39+'[1]T. Rajang'!G39+'[1]T. Garangan'!G39+'[1]T. Virginia'!G39+'[1]T. Vorstenland'!G39</f>
        <v>0</v>
      </c>
      <c r="H39" s="7"/>
      <c r="I39" s="34"/>
      <c r="J39" s="30"/>
      <c r="K39" s="34"/>
      <c r="L39" s="30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6.5" customHeight="1">
      <c r="A40" s="33">
        <v>32</v>
      </c>
      <c r="B40" s="37" t="s">
        <v>50</v>
      </c>
      <c r="C40" s="38">
        <f>'[1]T. Asepan'!C40+'[1]T. Rajang'!C40+'[1]T. Garangan'!C40+'[1]T. Virginia'!C40+'[1]T. Vorstenland'!C40</f>
        <v>0</v>
      </c>
      <c r="D40" s="38">
        <f>'[1]T. Asepan'!D40+'[1]T. Rajang'!D40+'[1]T. Garangan'!D40+'[1]T. Virginia'!D40+'[1]T. Vorstenland'!D40</f>
        <v>0</v>
      </c>
      <c r="E40" s="38">
        <f>'[1]T. Asepan'!E40+'[1]T. Rajang'!E40+'[1]T. Garangan'!E40+'[1]T. Virginia'!E40+'[1]T. Vorstenland'!E40</f>
        <v>0</v>
      </c>
      <c r="F40" s="35">
        <f t="shared" si="0"/>
        <v>0</v>
      </c>
      <c r="G40" s="36">
        <f>'[1]T. Asepan'!G40+'[1]T. Rajang'!G40+'[1]T. Garangan'!G40+'[1]T. Virginia'!G40+'[1]T. Vorstenland'!G40</f>
        <v>0</v>
      </c>
      <c r="H40" s="7"/>
      <c r="I40" s="37"/>
      <c r="J40" s="30"/>
      <c r="K40" s="37"/>
      <c r="L40" s="30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5" customHeight="1">
      <c r="A41" s="39" t="s">
        <v>51</v>
      </c>
      <c r="B41" s="13"/>
      <c r="C41" s="40">
        <f t="shared" ref="C41:E41" si="1">SUM(C$9:C$40)</f>
        <v>55021.039999999994</v>
      </c>
      <c r="D41" s="40">
        <f t="shared" si="1"/>
        <v>54800.55999999999</v>
      </c>
      <c r="E41" s="40">
        <f t="shared" si="1"/>
        <v>69257.17</v>
      </c>
      <c r="F41" s="41">
        <f>E41*1000/D41</f>
        <v>1263.8040560169461</v>
      </c>
      <c r="G41" s="42">
        <f>SUM($G9:$G40)</f>
        <v>147153</v>
      </c>
      <c r="H41" s="7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5" customHeight="1">
      <c r="A42" s="39" t="s">
        <v>52</v>
      </c>
      <c r="B42" s="13"/>
      <c r="C42" s="40">
        <v>50109.37999999999</v>
      </c>
      <c r="D42" s="40">
        <v>49971.119999999995</v>
      </c>
      <c r="E42" s="40">
        <v>56914.492424699994</v>
      </c>
      <c r="F42" s="41">
        <v>1138.9477046882278</v>
      </c>
      <c r="G42" s="42">
        <v>130615</v>
      </c>
      <c r="H42" s="7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5" customHeight="1">
      <c r="A43" s="39" t="s">
        <v>53</v>
      </c>
      <c r="B43" s="13"/>
      <c r="C43" s="40">
        <v>45867.030000000006</v>
      </c>
      <c r="D43" s="40">
        <v>45126.780000000006</v>
      </c>
      <c r="E43" s="40">
        <v>45700.41</v>
      </c>
      <c r="F43" s="41">
        <v>1012.7115207422288</v>
      </c>
      <c r="G43" s="42">
        <v>124943</v>
      </c>
      <c r="H43" s="7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5" customHeight="1">
      <c r="A44" s="39" t="s">
        <v>54</v>
      </c>
      <c r="B44" s="13"/>
      <c r="C44" s="40">
        <v>55619.67</v>
      </c>
      <c r="D44" s="40">
        <v>53765.25</v>
      </c>
      <c r="E44" s="40">
        <v>55153.659999999989</v>
      </c>
      <c r="F44" s="41">
        <v>1025.8235570373056</v>
      </c>
      <c r="G44" s="42">
        <v>118731</v>
      </c>
      <c r="H44" s="7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5" customHeight="1">
      <c r="A45" s="39" t="s">
        <v>55</v>
      </c>
      <c r="B45" s="13"/>
      <c r="C45" s="40">
        <v>53077.68</v>
      </c>
      <c r="D45" s="40">
        <v>52925.98</v>
      </c>
      <c r="E45" s="40">
        <v>57643.08</v>
      </c>
      <c r="F45" s="41">
        <v>1089</v>
      </c>
      <c r="G45" s="42">
        <v>115814</v>
      </c>
      <c r="H45" s="7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5" customHeight="1">
      <c r="A46" s="39" t="s">
        <v>56</v>
      </c>
      <c r="B46" s="13"/>
      <c r="C46" s="40">
        <v>56742.734866939274</v>
      </c>
      <c r="D46" s="40">
        <v>55753.684866939278</v>
      </c>
      <c r="E46" s="40">
        <v>56205.489012571423</v>
      </c>
      <c r="F46" s="41">
        <v>1008.1035746195146</v>
      </c>
      <c r="G46" s="42">
        <v>156382.53666666668</v>
      </c>
      <c r="H46" s="7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5" hidden="1" customHeight="1">
      <c r="A47" s="39" t="s">
        <v>57</v>
      </c>
      <c r="B47" s="13"/>
      <c r="C47" s="40">
        <v>50740.008000000002</v>
      </c>
      <c r="D47" s="40">
        <v>49481.567999999999</v>
      </c>
      <c r="E47" s="40">
        <v>47116.247280000003</v>
      </c>
      <c r="F47" s="41">
        <v>952.19794328263811</v>
      </c>
      <c r="G47" s="42">
        <v>140810</v>
      </c>
      <c r="H47" s="7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5" hidden="1" customHeight="1">
      <c r="A48" s="39" t="s">
        <v>58</v>
      </c>
      <c r="B48" s="13"/>
      <c r="C48" s="40">
        <v>45085.369999999995</v>
      </c>
      <c r="D48" s="40">
        <v>44919.27</v>
      </c>
      <c r="E48" s="40">
        <v>38340.654999999999</v>
      </c>
      <c r="F48" s="41">
        <v>853.54581675080658</v>
      </c>
      <c r="G48" s="42">
        <v>117633</v>
      </c>
      <c r="H48" s="7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5" hidden="1" customHeight="1">
      <c r="A49" s="39" t="s">
        <v>59</v>
      </c>
      <c r="B49" s="13"/>
      <c r="C49" s="40">
        <v>42794.32</v>
      </c>
      <c r="D49" s="40">
        <v>40453.33</v>
      </c>
      <c r="E49" s="40">
        <v>27923.54</v>
      </c>
      <c r="F49" s="41">
        <v>690.26554797837412</v>
      </c>
      <c r="G49" s="42">
        <v>115128</v>
      </c>
      <c r="H49" s="7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5" hidden="1" customHeight="1">
      <c r="A50" s="39" t="s">
        <v>60</v>
      </c>
      <c r="B50" s="13"/>
      <c r="C50" s="40">
        <v>52469.920000000006</v>
      </c>
      <c r="D50" s="40">
        <v>50916.100000000006</v>
      </c>
      <c r="E50" s="40">
        <v>40563.65</v>
      </c>
      <c r="F50" s="41">
        <v>796.67629688841043</v>
      </c>
      <c r="G50" s="42">
        <v>139182</v>
      </c>
      <c r="H50" s="7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5" hidden="1" customHeight="1">
      <c r="A51" s="39" t="s">
        <v>61</v>
      </c>
      <c r="B51" s="13"/>
      <c r="C51" s="40">
        <v>46540.03</v>
      </c>
      <c r="D51" s="40">
        <v>42653.150000000009</v>
      </c>
      <c r="E51" s="40">
        <v>32541.559999999998</v>
      </c>
      <c r="F51" s="41">
        <v>762.93450776789041</v>
      </c>
      <c r="G51" s="42">
        <v>125154</v>
      </c>
      <c r="H51" s="7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7.25" hidden="1" customHeight="1">
      <c r="A52" s="39" t="s">
        <v>62</v>
      </c>
      <c r="B52" s="13"/>
      <c r="C52" s="40">
        <v>43013.71</v>
      </c>
      <c r="D52" s="40">
        <v>40619.789999999994</v>
      </c>
      <c r="E52" s="40">
        <v>30972.140000000003</v>
      </c>
      <c r="F52" s="41">
        <v>762.48892473348599</v>
      </c>
      <c r="G52" s="42">
        <v>120027</v>
      </c>
      <c r="H52" s="43"/>
      <c r="I52" s="44"/>
      <c r="J52" s="26"/>
      <c r="K52" s="26"/>
      <c r="L52" s="27"/>
      <c r="M52" s="27"/>
      <c r="N52" s="27"/>
      <c r="O52" s="45"/>
      <c r="P52" s="45"/>
      <c r="Q52" s="25"/>
      <c r="R52" s="46"/>
      <c r="S52" s="46"/>
      <c r="T52" s="46"/>
      <c r="U52" s="46"/>
      <c r="V52" s="46"/>
      <c r="W52" s="46"/>
      <c r="X52" s="46"/>
      <c r="Y52" s="46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</row>
    <row r="53" spans="1:37" ht="17.25" hidden="1" customHeight="1">
      <c r="A53" s="39" t="s">
        <v>63</v>
      </c>
      <c r="B53" s="13"/>
      <c r="C53" s="40">
        <v>53018.759999999995</v>
      </c>
      <c r="D53" s="40">
        <v>50981.75</v>
      </c>
      <c r="E53" s="40">
        <v>41474.069999999992</v>
      </c>
      <c r="F53" s="41">
        <v>813.50816713824042</v>
      </c>
      <c r="G53" s="42">
        <v>160072</v>
      </c>
      <c r="H53" s="43"/>
      <c r="I53" s="44"/>
      <c r="J53" s="26"/>
      <c r="K53" s="26"/>
      <c r="L53" s="27"/>
      <c r="M53" s="27"/>
      <c r="N53" s="27"/>
      <c r="O53" s="45"/>
      <c r="P53" s="45"/>
      <c r="Q53" s="25"/>
      <c r="R53" s="46"/>
      <c r="S53" s="46"/>
      <c r="T53" s="46"/>
      <c r="U53" s="46"/>
      <c r="V53" s="46"/>
      <c r="W53" s="46"/>
      <c r="X53" s="46"/>
      <c r="Y53" s="46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</row>
    <row r="54" spans="1:37" ht="15" hidden="1" customHeight="1">
      <c r="A54" s="39" t="s">
        <v>64</v>
      </c>
      <c r="B54" s="13"/>
      <c r="C54" s="40">
        <v>45932.270000000004</v>
      </c>
      <c r="D54" s="40">
        <v>44651.6</v>
      </c>
      <c r="E54" s="40">
        <v>39411.266000000003</v>
      </c>
      <c r="F54" s="41">
        <v>882.63950227987357</v>
      </c>
      <c r="G54" s="42">
        <v>154281</v>
      </c>
      <c r="H54" s="47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</row>
    <row r="55" spans="1:37" ht="14.25" customHeight="1">
      <c r="A55" s="49"/>
      <c r="B55" s="50" t="s">
        <v>65</v>
      </c>
      <c r="C55" s="49"/>
      <c r="D55" s="49"/>
      <c r="E55" s="51"/>
      <c r="F55" s="49"/>
      <c r="G55" s="10"/>
      <c r="H55" s="7"/>
      <c r="I55" s="52"/>
      <c r="J55" s="52"/>
      <c r="K55" s="52"/>
      <c r="L55" s="53"/>
      <c r="M55" s="52"/>
      <c r="N55" s="52"/>
      <c r="O55" s="52"/>
      <c r="P55" s="52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4.25" customHeight="1">
      <c r="A56" s="54"/>
      <c r="B56" s="55" t="s">
        <v>66</v>
      </c>
      <c r="C56" s="56"/>
      <c r="D56" s="56"/>
      <c r="E56" s="57"/>
      <c r="F56" s="56"/>
      <c r="G56" s="10"/>
      <c r="H56" s="7"/>
      <c r="I56" s="52"/>
      <c r="J56" s="52"/>
      <c r="K56" s="52"/>
      <c r="L56" s="57"/>
      <c r="M56" s="58"/>
      <c r="N56" s="52"/>
      <c r="O56" s="52"/>
      <c r="P56" s="52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4.25" customHeight="1">
      <c r="A57" s="54"/>
      <c r="B57" s="54"/>
      <c r="C57" s="56"/>
      <c r="D57" s="56"/>
      <c r="E57" s="57"/>
      <c r="F57" s="56"/>
      <c r="G57" s="10"/>
      <c r="H57" s="7"/>
      <c r="I57" s="52"/>
      <c r="J57" s="52"/>
      <c r="K57" s="52"/>
      <c r="L57" s="52"/>
      <c r="M57" s="52"/>
      <c r="N57" s="52"/>
      <c r="O57" s="52"/>
      <c r="P57" s="52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4.25" customHeight="1">
      <c r="A58" s="54"/>
      <c r="B58" s="54"/>
      <c r="C58" s="56"/>
      <c r="D58" s="56"/>
      <c r="E58" s="57"/>
      <c r="F58" s="59" t="s">
        <v>67</v>
      </c>
      <c r="G58" s="10"/>
      <c r="H58" s="7"/>
      <c r="I58" s="52"/>
      <c r="J58" s="52"/>
      <c r="K58" s="52"/>
      <c r="L58" s="52"/>
      <c r="M58" s="52"/>
      <c r="N58" s="52"/>
      <c r="O58" s="52"/>
      <c r="P58" s="52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4.25" customHeight="1">
      <c r="A59" s="54"/>
      <c r="B59" s="54"/>
      <c r="C59" s="56"/>
      <c r="D59" s="56"/>
      <c r="E59" s="57"/>
      <c r="F59" s="56"/>
      <c r="G59" s="10"/>
      <c r="H59" s="7"/>
      <c r="I59" s="52"/>
      <c r="J59" s="52"/>
      <c r="K59" s="52"/>
      <c r="L59" s="52"/>
      <c r="M59" s="52"/>
      <c r="N59" s="52"/>
      <c r="O59" s="52"/>
      <c r="P59" s="52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4.25" customHeight="1">
      <c r="A60" s="54"/>
      <c r="B60" s="54"/>
      <c r="C60" s="56"/>
      <c r="D60" s="56"/>
      <c r="E60" s="57"/>
      <c r="F60" s="56"/>
      <c r="G60" s="10"/>
      <c r="H60" s="7"/>
      <c r="I60" s="52"/>
      <c r="J60" s="52"/>
      <c r="K60" s="52"/>
      <c r="L60" s="52"/>
      <c r="M60" s="52"/>
      <c r="N60" s="52"/>
      <c r="O60" s="60" t="s">
        <v>68</v>
      </c>
      <c r="P60" s="52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4.25" customHeight="1">
      <c r="A61" s="54"/>
      <c r="B61" s="61" t="s">
        <v>69</v>
      </c>
      <c r="C61" s="61" t="s">
        <v>8</v>
      </c>
      <c r="D61" s="56"/>
      <c r="E61" s="57"/>
      <c r="F61" s="56"/>
      <c r="G61" s="10"/>
      <c r="H61" s="7"/>
      <c r="I61" s="52"/>
      <c r="J61" s="52"/>
      <c r="K61" s="52"/>
      <c r="L61" s="52"/>
      <c r="M61" s="52"/>
      <c r="N61" s="52"/>
      <c r="O61" s="52"/>
      <c r="P61" s="52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4.25" customHeight="1">
      <c r="A62" s="54"/>
      <c r="B62" s="61" t="str">
        <f t="array" aca="1" ref="B62" ca="1">RIGHT(INDIRECT("A41"),4)</f>
        <v>2024</v>
      </c>
      <c r="C62" s="57">
        <f t="array" aca="1" ref="C62" ca="1">INDIRECT("E41")</f>
        <v>69257.17</v>
      </c>
      <c r="D62" s="56"/>
      <c r="E62" s="57"/>
      <c r="F62" s="56"/>
      <c r="G62" s="10"/>
      <c r="H62" s="7"/>
      <c r="I62" s="62"/>
      <c r="J62" s="62"/>
      <c r="K62" s="63"/>
      <c r="L62" s="64"/>
      <c r="M62" s="2"/>
      <c r="N62" s="64"/>
      <c r="O62" s="2"/>
      <c r="P62" s="65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4.25" customHeight="1">
      <c r="A63" s="54"/>
      <c r="B63" s="61" t="str">
        <f t="array" aca="1" ref="B63" ca="1">RIGHT(INDIRECT("A42"),4)</f>
        <v>2023</v>
      </c>
      <c r="C63" s="57">
        <f t="array" aca="1" ref="C63" ca="1">INDIRECT("E42")</f>
        <v>56914.492424699994</v>
      </c>
      <c r="D63" s="56"/>
      <c r="E63" s="57"/>
      <c r="F63" s="56"/>
      <c r="G63" s="10"/>
      <c r="H63" s="7"/>
      <c r="I63" s="2"/>
      <c r="J63" s="2"/>
      <c r="K63" s="63"/>
      <c r="L63" s="66"/>
      <c r="M63" s="66"/>
      <c r="N63" s="66"/>
      <c r="O63" s="66"/>
      <c r="P63" s="2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4.25" customHeight="1">
      <c r="A64" s="57"/>
      <c r="B64" s="61" t="str">
        <f t="array" aca="1" ref="B64" ca="1">RIGHT(INDIRECT("A43"),4)</f>
        <v>2022</v>
      </c>
      <c r="C64" s="57">
        <f t="array" aca="1" ref="C64" ca="1">INDIRECT("E43")</f>
        <v>45700.41</v>
      </c>
      <c r="D64" s="67"/>
      <c r="E64" s="67"/>
      <c r="F64" s="67"/>
      <c r="G64" s="68"/>
      <c r="H64" s="7"/>
      <c r="I64" s="63"/>
      <c r="J64" s="63"/>
      <c r="K64" s="63"/>
      <c r="L64" s="66"/>
      <c r="M64" s="66"/>
      <c r="N64" s="66"/>
      <c r="O64" s="66"/>
      <c r="P64" s="69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4.25" customHeight="1">
      <c r="A65" s="57"/>
      <c r="B65" s="61" t="str">
        <f t="array" aca="1" ref="B65" ca="1">RIGHT(INDIRECT("A44"),4)</f>
        <v>2021</v>
      </c>
      <c r="C65" s="57">
        <f t="array" aca="1" ref="C65" ca="1">INDIRECT("E44")</f>
        <v>55153.659999999989</v>
      </c>
      <c r="D65" s="67"/>
      <c r="E65" s="67"/>
      <c r="F65" s="67"/>
      <c r="G65" s="68"/>
      <c r="H65" s="7"/>
      <c r="I65" s="63"/>
      <c r="J65" s="63"/>
      <c r="K65" s="63"/>
      <c r="L65" s="66"/>
      <c r="M65" s="66"/>
      <c r="N65" s="66"/>
      <c r="O65" s="66"/>
      <c r="P65" s="69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4.25" customHeight="1">
      <c r="A66" s="57"/>
      <c r="B66" s="61" t="str">
        <f t="array" aca="1" ref="B66" ca="1">RIGHT(INDIRECT("A45"),4)</f>
        <v>2020</v>
      </c>
      <c r="C66" s="57">
        <f t="array" aca="1" ref="C66" ca="1">INDIRECT("E45")</f>
        <v>57643.08</v>
      </c>
      <c r="D66" s="67"/>
      <c r="E66" s="67"/>
      <c r="F66" s="67"/>
      <c r="G66" s="68"/>
      <c r="H66" s="7"/>
      <c r="I66" s="63"/>
      <c r="J66" s="63"/>
      <c r="K66" s="63"/>
      <c r="L66" s="66"/>
      <c r="M66" s="66"/>
      <c r="N66" s="66"/>
      <c r="O66" s="66"/>
      <c r="P66" s="69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4.25" customHeight="1">
      <c r="A67" s="57"/>
      <c r="B67" s="61" t="str">
        <f t="array" aca="1" ref="B67" ca="1">RIGHT(INDIRECT("A46"),4)</f>
        <v>2019</v>
      </c>
      <c r="C67" s="57">
        <f t="array" aca="1" ref="C67" ca="1">INDIRECT("E46")</f>
        <v>56205.489012571423</v>
      </c>
      <c r="D67" s="67"/>
      <c r="E67" s="67"/>
      <c r="F67" s="67"/>
      <c r="G67" s="68"/>
      <c r="H67" s="7"/>
      <c r="I67" s="63"/>
      <c r="J67" s="63"/>
      <c r="K67" s="63"/>
      <c r="L67" s="66"/>
      <c r="M67" s="66"/>
      <c r="N67" s="66"/>
      <c r="O67" s="66"/>
      <c r="P67" s="69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4.25" customHeight="1">
      <c r="A68" s="57"/>
      <c r="B68" s="61" t="str">
        <f t="array" aca="1" ref="B68" ca="1">RIGHT(INDIRECT("A47"),4)</f>
        <v>2018</v>
      </c>
      <c r="C68" s="57">
        <f t="array" aca="1" ref="C68" ca="1">INDIRECT("E47")</f>
        <v>47116.247280000003</v>
      </c>
      <c r="D68" s="67"/>
      <c r="E68" s="67"/>
      <c r="F68" s="67"/>
      <c r="G68" s="68"/>
      <c r="H68" s="7"/>
      <c r="I68" s="63"/>
      <c r="J68" s="63"/>
      <c r="K68" s="63"/>
      <c r="L68" s="66"/>
      <c r="M68" s="66"/>
      <c r="N68" s="66"/>
      <c r="O68" s="66"/>
      <c r="P68" s="69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4.25" customHeight="1">
      <c r="A69" s="57"/>
      <c r="B69" s="61" t="str">
        <f t="array" aca="1" ref="B69" ca="1">RIGHT(INDIRECT("A48"),4)</f>
        <v>2017</v>
      </c>
      <c r="C69" s="57">
        <f t="array" aca="1" ref="C69" ca="1">INDIRECT("E48")</f>
        <v>38340.654999999999</v>
      </c>
      <c r="D69" s="67"/>
      <c r="E69" s="67"/>
      <c r="F69" s="67"/>
      <c r="G69" s="68"/>
      <c r="H69" s="7"/>
      <c r="I69" s="63"/>
      <c r="J69" s="63"/>
      <c r="K69" s="63"/>
      <c r="L69" s="66"/>
      <c r="M69" s="66"/>
      <c r="N69" s="66"/>
      <c r="O69" s="66"/>
      <c r="P69" s="69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4.25" customHeight="1">
      <c r="A70" s="57"/>
      <c r="B70" s="61" t="str">
        <f t="array" aca="1" ref="B70" ca="1">RIGHT(INDIRECT("A49"),4)</f>
        <v>2016</v>
      </c>
      <c r="C70" s="57">
        <f t="array" aca="1" ref="C70" ca="1">INDIRECT("E49")</f>
        <v>27923.54</v>
      </c>
      <c r="D70" s="67"/>
      <c r="E70" s="67"/>
      <c r="F70" s="67"/>
      <c r="G70" s="68"/>
      <c r="H70" s="7"/>
      <c r="I70" s="63"/>
      <c r="J70" s="63"/>
      <c r="K70" s="63"/>
      <c r="L70" s="66"/>
      <c r="M70" s="66"/>
      <c r="N70" s="66"/>
      <c r="O70" s="66"/>
      <c r="P70" s="69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4.25" customHeight="1">
      <c r="A71" s="57"/>
      <c r="B71" s="61" t="str">
        <f t="array" aca="1" ref="B71" ca="1">RIGHT(INDIRECT("A50"),4)</f>
        <v>2015</v>
      </c>
      <c r="C71" s="57">
        <f t="array" aca="1" ref="C71" ca="1">INDIRECT("E50")</f>
        <v>40563.65</v>
      </c>
      <c r="D71" s="67"/>
      <c r="E71" s="67"/>
      <c r="F71" s="67"/>
      <c r="G71" s="68"/>
      <c r="H71" s="7"/>
      <c r="I71" s="63"/>
      <c r="J71" s="63"/>
      <c r="K71" s="63"/>
      <c r="L71" s="66"/>
      <c r="M71" s="66"/>
      <c r="N71" s="66"/>
      <c r="O71" s="66"/>
      <c r="P71" s="69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4.25" customHeight="1">
      <c r="A72" s="57"/>
      <c r="B72" s="61" t="str">
        <f t="array" aca="1" ref="B72" ca="1">RIGHT(INDIRECT("A51"),4)</f>
        <v>2014</v>
      </c>
      <c r="C72" s="57">
        <f t="array" aca="1" ref="C72" ca="1">INDIRECT("E51")</f>
        <v>32541.559999999998</v>
      </c>
      <c r="D72" s="67"/>
      <c r="E72" s="67"/>
      <c r="F72" s="67"/>
      <c r="G72" s="68"/>
      <c r="H72" s="7"/>
      <c r="I72" s="63"/>
      <c r="J72" s="63"/>
      <c r="K72" s="63"/>
      <c r="L72" s="66"/>
      <c r="M72" s="66"/>
      <c r="N72" s="66"/>
      <c r="O72" s="66"/>
      <c r="P72" s="69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4.25" customHeight="1">
      <c r="A73" s="57"/>
      <c r="B73" s="61" t="str">
        <f t="array" aca="1" ref="B73" ca="1">RIGHT(INDIRECT("A52"),4)</f>
        <v>2013</v>
      </c>
      <c r="C73" s="57">
        <f t="array" aca="1" ref="C73" ca="1">INDIRECT("E52")</f>
        <v>30972.140000000003</v>
      </c>
      <c r="D73" s="67"/>
      <c r="E73" s="67"/>
      <c r="F73" s="67"/>
      <c r="G73" s="68"/>
      <c r="H73" s="7"/>
      <c r="I73" s="63"/>
      <c r="J73" s="63"/>
      <c r="K73" s="63"/>
      <c r="L73" s="66"/>
      <c r="M73" s="66"/>
      <c r="N73" s="66"/>
      <c r="O73" s="66"/>
      <c r="P73" s="69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4.25" customHeight="1">
      <c r="A74" s="57"/>
      <c r="B74" s="61" t="str">
        <f t="array" aca="1" ref="B74" ca="1">RIGHT(INDIRECT("A53"),4)</f>
        <v>2012</v>
      </c>
      <c r="C74" s="57">
        <f t="array" aca="1" ref="C74" ca="1">INDIRECT("E53")</f>
        <v>41474.069999999992</v>
      </c>
      <c r="D74" s="67"/>
      <c r="E74" s="67"/>
      <c r="F74" s="67"/>
      <c r="G74" s="68"/>
      <c r="H74" s="7"/>
      <c r="I74" s="63"/>
      <c r="J74" s="63"/>
      <c r="K74" s="63"/>
      <c r="L74" s="66"/>
      <c r="M74" s="66"/>
      <c r="N74" s="66"/>
      <c r="O74" s="66"/>
      <c r="P74" s="69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4.25" customHeight="1">
      <c r="A75" s="57"/>
      <c r="B75" s="61" t="str">
        <f t="array" aca="1" ref="B75" ca="1">RIGHT(INDIRECT("A54"),4)</f>
        <v>2011</v>
      </c>
      <c r="C75" s="57">
        <f t="array" aca="1" ref="C75" ca="1">INDIRECT("E54")</f>
        <v>39411.266000000003</v>
      </c>
      <c r="D75" s="67"/>
      <c r="E75" s="67"/>
      <c r="F75" s="67"/>
      <c r="G75" s="68"/>
      <c r="H75" s="7"/>
      <c r="I75" s="63"/>
      <c r="J75" s="63"/>
      <c r="K75" s="63"/>
      <c r="L75" s="66"/>
      <c r="M75" s="66"/>
      <c r="N75" s="66"/>
      <c r="O75" s="66"/>
      <c r="P75" s="69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4.25" customHeight="1">
      <c r="A76" s="57"/>
      <c r="B76" s="70" t="str">
        <f t="array" aca="1" ref="B76" ca="1">RIGHT(INDIRECT("A55"),4)</f>
        <v/>
      </c>
      <c r="C76" s="57">
        <f t="array" aca="1" ref="C76" ca="1">INDIRECT("E55")</f>
        <v>0</v>
      </c>
      <c r="D76" s="67"/>
      <c r="E76" s="67"/>
      <c r="F76" s="67"/>
      <c r="G76" s="68"/>
      <c r="H76" s="7"/>
      <c r="I76" s="63"/>
      <c r="J76" s="63"/>
      <c r="K76" s="63"/>
      <c r="L76" s="66"/>
      <c r="M76" s="66"/>
      <c r="N76" s="66"/>
      <c r="O76" s="66"/>
      <c r="P76" s="69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4.25" customHeight="1">
      <c r="A77" s="57"/>
      <c r="B77" s="4"/>
      <c r="C77" s="67"/>
      <c r="D77" s="67"/>
      <c r="E77" s="67"/>
      <c r="F77" s="67"/>
      <c r="G77" s="68"/>
      <c r="H77" s="7"/>
      <c r="I77" s="63"/>
      <c r="J77" s="63"/>
      <c r="K77" s="63"/>
      <c r="L77" s="66"/>
      <c r="M77" s="66"/>
      <c r="N77" s="66"/>
      <c r="O77" s="66"/>
      <c r="P77" s="69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4.25" customHeight="1">
      <c r="A78" s="57"/>
      <c r="B78" s="4"/>
      <c r="C78" s="67"/>
      <c r="D78" s="67"/>
      <c r="E78" s="67"/>
      <c r="F78" s="67"/>
      <c r="G78" s="68"/>
      <c r="H78" s="7"/>
      <c r="I78" s="63"/>
      <c r="J78" s="63"/>
      <c r="K78" s="63"/>
      <c r="L78" s="66"/>
      <c r="M78" s="66"/>
      <c r="N78" s="66"/>
      <c r="O78" s="66"/>
      <c r="P78" s="69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4.25" customHeight="1">
      <c r="A79" s="57"/>
      <c r="B79" s="4"/>
      <c r="C79" s="67"/>
      <c r="D79" s="67"/>
      <c r="E79" s="67"/>
      <c r="F79" s="67"/>
      <c r="G79" s="68"/>
      <c r="H79" s="7"/>
      <c r="I79" s="63"/>
      <c r="J79" s="63"/>
      <c r="K79" s="63"/>
      <c r="L79" s="66"/>
      <c r="M79" s="66"/>
      <c r="N79" s="66"/>
      <c r="O79" s="66"/>
      <c r="P79" s="69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4.25" customHeight="1">
      <c r="A80" s="57"/>
      <c r="B80" s="4"/>
      <c r="C80" s="67"/>
      <c r="D80" s="67"/>
      <c r="E80" s="67"/>
      <c r="F80" s="67"/>
      <c r="G80" s="68"/>
      <c r="H80" s="7"/>
      <c r="I80" s="63"/>
      <c r="J80" s="63"/>
      <c r="K80" s="63"/>
      <c r="L80" s="66"/>
      <c r="M80" s="66"/>
      <c r="N80" s="66"/>
      <c r="O80" s="66"/>
      <c r="P80" s="69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4.25" customHeight="1">
      <c r="A81" s="57"/>
      <c r="B81" s="4"/>
      <c r="C81" s="67"/>
      <c r="D81" s="67"/>
      <c r="E81" s="67"/>
      <c r="F81" s="67"/>
      <c r="G81" s="68"/>
      <c r="H81" s="7"/>
      <c r="I81" s="63"/>
      <c r="J81" s="63"/>
      <c r="K81" s="63"/>
      <c r="L81" s="66"/>
      <c r="M81" s="66"/>
      <c r="N81" s="66"/>
      <c r="O81" s="66"/>
      <c r="P81" s="69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4.25" customHeight="1">
      <c r="A82" s="57"/>
      <c r="B82" s="4"/>
      <c r="C82" s="67"/>
      <c r="D82" s="67"/>
      <c r="E82" s="67"/>
      <c r="F82" s="67"/>
      <c r="G82" s="68"/>
      <c r="H82" s="7"/>
      <c r="I82" s="63"/>
      <c r="J82" s="63"/>
      <c r="K82" s="63"/>
      <c r="L82" s="66"/>
      <c r="M82" s="66"/>
      <c r="N82" s="66"/>
      <c r="O82" s="66"/>
      <c r="P82" s="69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4.25" customHeight="1">
      <c r="A83" s="57"/>
      <c r="B83" s="4"/>
      <c r="C83" s="67"/>
      <c r="D83" s="67"/>
      <c r="E83" s="67"/>
      <c r="F83" s="67"/>
      <c r="G83" s="68"/>
      <c r="H83" s="7"/>
      <c r="I83" s="71"/>
      <c r="J83" s="71"/>
      <c r="K83" s="71"/>
      <c r="L83" s="71"/>
      <c r="M83" s="71"/>
      <c r="N83" s="71"/>
      <c r="O83" s="71"/>
      <c r="P83" s="71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4.25" customHeight="1">
      <c r="A84" s="57"/>
      <c r="B84" s="4"/>
      <c r="C84" s="4"/>
      <c r="D84" s="4"/>
      <c r="E84" s="57"/>
      <c r="F84" s="4"/>
      <c r="G84" s="10"/>
      <c r="H84" s="7"/>
      <c r="I84" s="52"/>
      <c r="J84" s="52"/>
      <c r="K84" s="52"/>
      <c r="L84" s="72"/>
      <c r="M84" s="72"/>
      <c r="N84" s="72"/>
      <c r="O84" s="73"/>
      <c r="P84" s="73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4.25" customHeight="1">
      <c r="A85" s="4"/>
      <c r="B85" s="4"/>
      <c r="C85" s="4"/>
      <c r="D85" s="4"/>
      <c r="E85" s="57"/>
      <c r="F85" s="4"/>
      <c r="G85" s="10"/>
      <c r="H85" s="7"/>
      <c r="I85" s="52"/>
      <c r="J85" s="52"/>
      <c r="K85" s="52"/>
      <c r="L85" s="72"/>
      <c r="M85" s="72"/>
      <c r="N85" s="72"/>
      <c r="O85" s="73"/>
      <c r="P85" s="73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4.25" customHeight="1">
      <c r="A86" s="4"/>
      <c r="B86" s="4"/>
      <c r="C86" s="4"/>
      <c r="D86" s="4"/>
      <c r="E86" s="57"/>
      <c r="F86" s="4"/>
      <c r="G86" s="10"/>
      <c r="H86" s="7"/>
      <c r="I86" s="52"/>
      <c r="J86" s="52"/>
      <c r="K86" s="52"/>
      <c r="L86" s="72"/>
      <c r="M86" s="72"/>
      <c r="N86" s="72"/>
      <c r="O86" s="74"/>
      <c r="P86" s="73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4.25" customHeight="1">
      <c r="A87" s="4"/>
      <c r="B87" s="4"/>
      <c r="C87" s="4"/>
      <c r="D87" s="4"/>
      <c r="E87" s="57"/>
      <c r="F87" s="4"/>
      <c r="G87" s="10"/>
      <c r="H87" s="7"/>
      <c r="I87" s="52"/>
      <c r="J87" s="52"/>
      <c r="K87" s="52"/>
      <c r="L87" s="72"/>
      <c r="M87" s="72"/>
      <c r="N87" s="72"/>
      <c r="O87" s="74"/>
      <c r="P87" s="73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4.25" customHeight="1">
      <c r="A88" s="4"/>
      <c r="B88" s="4"/>
      <c r="C88" s="4"/>
      <c r="D88" s="4"/>
      <c r="E88" s="57"/>
      <c r="F88" s="4"/>
      <c r="G88" s="10"/>
      <c r="H88" s="7"/>
      <c r="I88" s="52"/>
      <c r="J88" s="52"/>
      <c r="K88" s="52"/>
      <c r="L88" s="75"/>
      <c r="M88" s="72"/>
      <c r="N88" s="72"/>
      <c r="O88" s="74"/>
      <c r="P88" s="73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4.25" customHeight="1">
      <c r="A89" s="4"/>
      <c r="B89" s="4"/>
      <c r="C89" s="4"/>
      <c r="D89" s="4"/>
      <c r="E89" s="57"/>
      <c r="F89" s="4"/>
      <c r="G89" s="10"/>
      <c r="H89" s="7"/>
      <c r="I89" s="52"/>
      <c r="J89" s="52"/>
      <c r="K89" s="52"/>
      <c r="L89" s="72"/>
      <c r="M89" s="72"/>
      <c r="N89" s="72"/>
      <c r="O89" s="74"/>
      <c r="P89" s="73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4.25" customHeight="1">
      <c r="A90" s="4"/>
      <c r="B90" s="4"/>
      <c r="C90" s="4"/>
      <c r="D90" s="4"/>
      <c r="E90" s="57"/>
      <c r="F90" s="4"/>
      <c r="G90" s="10"/>
      <c r="H90" s="7"/>
      <c r="I90" s="52"/>
      <c r="J90" s="52"/>
      <c r="K90" s="52"/>
      <c r="L90" s="72"/>
      <c r="M90" s="72"/>
      <c r="N90" s="72"/>
      <c r="O90" s="73"/>
      <c r="P90" s="73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4.25" customHeight="1">
      <c r="A91" s="4"/>
      <c r="B91" s="4"/>
      <c r="C91" s="4"/>
      <c r="D91" s="4"/>
      <c r="E91" s="57"/>
      <c r="F91" s="4"/>
      <c r="G91" s="10"/>
      <c r="H91" s="7"/>
      <c r="I91" s="52"/>
      <c r="J91" s="52"/>
      <c r="K91" s="52"/>
      <c r="L91" s="72"/>
      <c r="M91" s="72"/>
      <c r="N91" s="72"/>
      <c r="O91" s="73"/>
      <c r="P91" s="73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4.25" customHeight="1">
      <c r="A92" s="4"/>
      <c r="B92" s="4"/>
      <c r="C92" s="4"/>
      <c r="D92" s="4"/>
      <c r="E92" s="57"/>
      <c r="F92" s="4"/>
      <c r="G92" s="10"/>
      <c r="H92" s="7"/>
      <c r="I92" s="52"/>
      <c r="J92" s="52"/>
      <c r="K92" s="52"/>
      <c r="L92" s="72"/>
      <c r="M92" s="72"/>
      <c r="N92" s="72"/>
      <c r="O92" s="73"/>
      <c r="P92" s="73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4.25" customHeight="1">
      <c r="A93" s="4"/>
      <c r="B93" s="4"/>
      <c r="C93" s="76"/>
      <c r="D93" s="76"/>
      <c r="E93" s="77"/>
      <c r="F93" s="76"/>
      <c r="G93" s="10"/>
      <c r="H93" s="7"/>
      <c r="I93" s="52"/>
      <c r="J93" s="52"/>
      <c r="K93" s="52"/>
      <c r="L93" s="72"/>
      <c r="M93" s="72"/>
      <c r="N93" s="72"/>
      <c r="O93" s="73"/>
      <c r="P93" s="73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4.25" customHeight="1">
      <c r="A94" s="4"/>
      <c r="B94" s="4"/>
      <c r="C94" s="4"/>
      <c r="D94" s="4"/>
      <c r="E94" s="57"/>
      <c r="F94" s="4"/>
      <c r="G94" s="10"/>
      <c r="H94" s="7"/>
      <c r="I94" s="52"/>
      <c r="J94" s="52"/>
      <c r="K94" s="52"/>
      <c r="L94" s="72"/>
      <c r="M94" s="72"/>
      <c r="N94" s="72"/>
      <c r="O94" s="73"/>
      <c r="P94" s="73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4.25" customHeight="1">
      <c r="A95" s="4"/>
      <c r="B95" s="4"/>
      <c r="C95" s="4"/>
      <c r="D95" s="4"/>
      <c r="E95" s="57"/>
      <c r="F95" s="4"/>
      <c r="G95" s="10"/>
      <c r="H95" s="7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4.25" customHeight="1">
      <c r="A96" s="78"/>
      <c r="B96" s="78"/>
      <c r="C96" s="79"/>
      <c r="D96" s="79"/>
      <c r="E96" s="80"/>
      <c r="F96" s="79"/>
      <c r="G96" s="81"/>
      <c r="H96" s="7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4.25" customHeight="1">
      <c r="A97" s="82"/>
      <c r="B97" s="82"/>
      <c r="C97" s="82"/>
      <c r="D97" s="82"/>
      <c r="E97" s="83"/>
      <c r="F97" s="82"/>
      <c r="G97" s="10"/>
      <c r="H97" s="7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4.25" customHeight="1">
      <c r="A98" s="82"/>
      <c r="B98" s="84"/>
      <c r="C98" s="84"/>
      <c r="D98" s="84"/>
      <c r="E98" s="85"/>
      <c r="F98" s="84"/>
      <c r="G98" s="10"/>
      <c r="H98" s="7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4.25" customHeight="1">
      <c r="A99" s="71"/>
      <c r="B99" s="52"/>
      <c r="C99" s="73"/>
      <c r="D99" s="73"/>
      <c r="E99" s="72"/>
      <c r="F99" s="73"/>
      <c r="G99" s="10"/>
      <c r="H99" s="7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4.25" customHeight="1">
      <c r="A100" s="71"/>
      <c r="B100" s="52"/>
      <c r="C100" s="73"/>
      <c r="D100" s="73"/>
      <c r="E100" s="72"/>
      <c r="F100" s="73"/>
      <c r="G100" s="10"/>
      <c r="H100" s="7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4.25" customHeight="1">
      <c r="A101" s="71"/>
      <c r="B101" s="52"/>
      <c r="C101" s="73"/>
      <c r="D101" s="73"/>
      <c r="E101" s="72"/>
      <c r="F101" s="73"/>
      <c r="G101" s="10"/>
      <c r="H101" s="7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4.25" customHeight="1">
      <c r="A102" s="71"/>
      <c r="B102" s="52"/>
      <c r="C102" s="73"/>
      <c r="D102" s="73"/>
      <c r="E102" s="72"/>
      <c r="F102" s="73"/>
      <c r="G102" s="10"/>
      <c r="H102" s="7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4.25" customHeight="1">
      <c r="A103" s="71"/>
      <c r="B103" s="52"/>
      <c r="C103" s="73"/>
      <c r="D103" s="73"/>
      <c r="E103" s="72"/>
      <c r="F103" s="73"/>
      <c r="G103" s="10"/>
      <c r="H103" s="7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4.25" customHeight="1">
      <c r="A104" s="71"/>
      <c r="B104" s="52"/>
      <c r="C104" s="73"/>
      <c r="D104" s="73"/>
      <c r="E104" s="72"/>
      <c r="F104" s="73"/>
      <c r="G104" s="10"/>
      <c r="H104" s="7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4.25" customHeight="1">
      <c r="A105" s="71"/>
      <c r="B105" s="52"/>
      <c r="C105" s="73"/>
      <c r="D105" s="73"/>
      <c r="E105" s="72"/>
      <c r="F105" s="73"/>
      <c r="G105" s="10"/>
      <c r="H105" s="7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4.25" customHeight="1">
      <c r="A106" s="71"/>
      <c r="B106" s="52"/>
      <c r="C106" s="73"/>
      <c r="D106" s="73"/>
      <c r="E106" s="72"/>
      <c r="F106" s="73"/>
      <c r="G106" s="10"/>
      <c r="H106" s="7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4.25" customHeight="1">
      <c r="A107" s="71"/>
      <c r="B107" s="52"/>
      <c r="C107" s="73"/>
      <c r="D107" s="73"/>
      <c r="E107" s="72"/>
      <c r="F107" s="73"/>
      <c r="G107" s="10"/>
      <c r="H107" s="7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4.25" customHeight="1">
      <c r="A108" s="71"/>
      <c r="B108" s="52"/>
      <c r="C108" s="73"/>
      <c r="D108" s="73"/>
      <c r="E108" s="72"/>
      <c r="F108" s="73"/>
      <c r="G108" s="10"/>
      <c r="H108" s="7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4.25" customHeight="1">
      <c r="A109" s="71"/>
      <c r="B109" s="52"/>
      <c r="C109" s="73"/>
      <c r="D109" s="73"/>
      <c r="E109" s="72"/>
      <c r="F109" s="73"/>
      <c r="G109" s="10"/>
      <c r="H109" s="7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4.25" customHeight="1">
      <c r="A110" s="71"/>
      <c r="B110" s="52"/>
      <c r="C110" s="73"/>
      <c r="D110" s="73"/>
      <c r="E110" s="72"/>
      <c r="F110" s="73"/>
      <c r="G110" s="10"/>
      <c r="H110" s="7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4.25" customHeight="1">
      <c r="A111" s="71"/>
      <c r="B111" s="52"/>
      <c r="C111" s="73"/>
      <c r="D111" s="73"/>
      <c r="E111" s="72"/>
      <c r="F111" s="73"/>
      <c r="G111" s="10"/>
      <c r="H111" s="7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4.25" customHeight="1">
      <c r="A112" s="52"/>
      <c r="B112" s="52"/>
      <c r="C112" s="73"/>
      <c r="D112" s="73"/>
      <c r="E112" s="72"/>
      <c r="F112" s="73"/>
      <c r="G112" s="10"/>
      <c r="H112" s="7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4.25" customHeight="1">
      <c r="A113" s="52"/>
      <c r="B113" s="52"/>
      <c r="C113" s="73"/>
      <c r="D113" s="73"/>
      <c r="E113" s="72"/>
      <c r="F113" s="73"/>
      <c r="G113" s="10"/>
      <c r="H113" s="7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4.25" customHeight="1">
      <c r="A114" s="52"/>
      <c r="B114" s="52"/>
      <c r="C114" s="52"/>
      <c r="D114" s="52"/>
      <c r="E114" s="72"/>
      <c r="F114" s="52"/>
      <c r="G114" s="10"/>
      <c r="H114" s="7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4.25" customHeight="1">
      <c r="A115" s="52"/>
      <c r="B115" s="52"/>
      <c r="C115" s="52"/>
      <c r="D115" s="52"/>
      <c r="E115" s="72"/>
      <c r="F115" s="52"/>
      <c r="G115" s="10"/>
      <c r="H115" s="7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4.25" customHeight="1">
      <c r="A116" s="4"/>
      <c r="B116" s="4"/>
      <c r="C116" s="4"/>
      <c r="D116" s="4"/>
      <c r="E116" s="57"/>
      <c r="F116" s="4"/>
      <c r="G116" s="10"/>
      <c r="H116" s="7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4.25" customHeight="1">
      <c r="A117" s="4"/>
      <c r="B117" s="4"/>
      <c r="C117" s="4"/>
      <c r="D117" s="4"/>
      <c r="E117" s="57"/>
      <c r="F117" s="4"/>
      <c r="G117" s="10"/>
      <c r="H117" s="7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4.25" customHeight="1">
      <c r="A118" s="4"/>
      <c r="B118" s="4"/>
      <c r="C118" s="4"/>
      <c r="D118" s="4"/>
      <c r="E118" s="57"/>
      <c r="F118" s="4"/>
      <c r="G118" s="10"/>
      <c r="H118" s="7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4.25" customHeight="1">
      <c r="A119" s="4"/>
      <c r="B119" s="4"/>
      <c r="C119" s="4"/>
      <c r="D119" s="4"/>
      <c r="E119" s="57"/>
      <c r="F119" s="4"/>
      <c r="G119" s="10"/>
      <c r="H119" s="7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4.25" customHeight="1">
      <c r="A120" s="4"/>
      <c r="B120" s="4"/>
      <c r="C120" s="4"/>
      <c r="D120" s="4"/>
      <c r="E120" s="57"/>
      <c r="F120" s="4"/>
      <c r="G120" s="10"/>
      <c r="H120" s="7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4.25" customHeight="1">
      <c r="A121" s="4"/>
      <c r="B121" s="4"/>
      <c r="C121" s="4"/>
      <c r="D121" s="4"/>
      <c r="E121" s="57"/>
      <c r="F121" s="4"/>
      <c r="G121" s="10"/>
      <c r="H121" s="7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4.25" customHeight="1">
      <c r="A122" s="4"/>
      <c r="B122" s="4"/>
      <c r="C122" s="4"/>
      <c r="D122" s="4"/>
      <c r="E122" s="57"/>
      <c r="F122" s="4"/>
      <c r="G122" s="10"/>
      <c r="H122" s="7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4.25" customHeight="1">
      <c r="A123" s="4"/>
      <c r="B123" s="4"/>
      <c r="C123" s="4"/>
      <c r="D123" s="4"/>
      <c r="E123" s="57"/>
      <c r="F123" s="4"/>
      <c r="G123" s="10"/>
      <c r="H123" s="7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4.25" customHeight="1">
      <c r="A124" s="4"/>
      <c r="B124" s="4"/>
      <c r="C124" s="4"/>
      <c r="D124" s="4"/>
      <c r="E124" s="57"/>
      <c r="F124" s="4"/>
      <c r="G124" s="10"/>
      <c r="H124" s="7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4.25" customHeight="1">
      <c r="A125" s="4"/>
      <c r="B125" s="4"/>
      <c r="C125" s="4"/>
      <c r="D125" s="4"/>
      <c r="E125" s="57"/>
      <c r="F125" s="4"/>
      <c r="G125" s="10"/>
      <c r="H125" s="7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4.25" customHeight="1">
      <c r="A126" s="4"/>
      <c r="B126" s="4"/>
      <c r="C126" s="4"/>
      <c r="D126" s="4"/>
      <c r="E126" s="57"/>
      <c r="F126" s="4"/>
      <c r="G126" s="10"/>
      <c r="H126" s="7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4.25" customHeight="1">
      <c r="A127" s="4"/>
      <c r="B127" s="4"/>
      <c r="C127" s="4"/>
      <c r="D127" s="4"/>
      <c r="E127" s="57"/>
      <c r="F127" s="4"/>
      <c r="G127" s="10"/>
      <c r="H127" s="7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4.25" customHeight="1">
      <c r="A128" s="4"/>
      <c r="B128" s="4"/>
      <c r="C128" s="4"/>
      <c r="D128" s="4"/>
      <c r="E128" s="57"/>
      <c r="F128" s="4"/>
      <c r="G128" s="10"/>
      <c r="H128" s="7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4.25" customHeight="1">
      <c r="A129" s="4"/>
      <c r="B129" s="4"/>
      <c r="C129" s="4"/>
      <c r="D129" s="4"/>
      <c r="E129" s="57"/>
      <c r="F129" s="4"/>
      <c r="G129" s="10"/>
      <c r="H129" s="7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4.25" customHeight="1">
      <c r="A130" s="4"/>
      <c r="B130" s="4"/>
      <c r="C130" s="4"/>
      <c r="D130" s="4"/>
      <c r="E130" s="57"/>
      <c r="F130" s="4"/>
      <c r="G130" s="10"/>
      <c r="H130" s="7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4.25" customHeight="1">
      <c r="A131" s="4"/>
      <c r="B131" s="4"/>
      <c r="C131" s="4"/>
      <c r="D131" s="4"/>
      <c r="E131" s="57"/>
      <c r="F131" s="4"/>
      <c r="G131" s="10"/>
      <c r="H131" s="7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4.25" customHeight="1">
      <c r="A132" s="4"/>
      <c r="B132" s="4"/>
      <c r="C132" s="4"/>
      <c r="D132" s="4"/>
      <c r="E132" s="57"/>
      <c r="F132" s="4"/>
      <c r="G132" s="10"/>
      <c r="H132" s="7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4.25" customHeight="1">
      <c r="A133" s="4"/>
      <c r="B133" s="4"/>
      <c r="C133" s="4"/>
      <c r="D133" s="4"/>
      <c r="E133" s="57"/>
      <c r="F133" s="4"/>
      <c r="G133" s="10"/>
      <c r="H133" s="7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4.25" customHeight="1">
      <c r="A134" s="4"/>
      <c r="B134" s="4"/>
      <c r="C134" s="4"/>
      <c r="D134" s="4"/>
      <c r="E134" s="57"/>
      <c r="F134" s="4"/>
      <c r="G134" s="10"/>
      <c r="H134" s="7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4.25" customHeight="1">
      <c r="A135" s="4"/>
      <c r="B135" s="4"/>
      <c r="C135" s="4"/>
      <c r="D135" s="4"/>
      <c r="E135" s="57"/>
      <c r="F135" s="4"/>
      <c r="G135" s="10"/>
      <c r="H135" s="7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4.25" customHeight="1">
      <c r="A136" s="4"/>
      <c r="B136" s="4"/>
      <c r="C136" s="4"/>
      <c r="D136" s="4"/>
      <c r="E136" s="57"/>
      <c r="F136" s="4"/>
      <c r="G136" s="10"/>
      <c r="H136" s="7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4.25" customHeight="1">
      <c r="A137" s="4"/>
      <c r="B137" s="4"/>
      <c r="C137" s="4"/>
      <c r="D137" s="4"/>
      <c r="E137" s="57"/>
      <c r="F137" s="4"/>
      <c r="G137" s="10"/>
      <c r="H137" s="7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4.25" customHeight="1">
      <c r="A138" s="4"/>
      <c r="B138" s="4"/>
      <c r="C138" s="4"/>
      <c r="D138" s="4"/>
      <c r="E138" s="57"/>
      <c r="F138" s="4"/>
      <c r="G138" s="10"/>
      <c r="H138" s="7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4.25" customHeight="1">
      <c r="A139" s="4"/>
      <c r="B139" s="4"/>
      <c r="C139" s="4"/>
      <c r="D139" s="4"/>
      <c r="E139" s="57"/>
      <c r="F139" s="4"/>
      <c r="G139" s="10"/>
      <c r="H139" s="7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4.25" customHeight="1">
      <c r="A140" s="4"/>
      <c r="B140" s="4"/>
      <c r="C140" s="4"/>
      <c r="D140" s="4"/>
      <c r="E140" s="57"/>
      <c r="F140" s="4"/>
      <c r="G140" s="10"/>
      <c r="H140" s="7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4.25" customHeight="1">
      <c r="A141" s="4"/>
      <c r="B141" s="4"/>
      <c r="C141" s="4"/>
      <c r="D141" s="4"/>
      <c r="E141" s="57"/>
      <c r="F141" s="4"/>
      <c r="G141" s="10"/>
      <c r="H141" s="7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4.25" customHeight="1">
      <c r="A142" s="4"/>
      <c r="B142" s="4"/>
      <c r="C142" s="4"/>
      <c r="D142" s="4"/>
      <c r="E142" s="57"/>
      <c r="F142" s="4"/>
      <c r="G142" s="10"/>
      <c r="H142" s="7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4.25" customHeight="1">
      <c r="A143" s="4"/>
      <c r="B143" s="4"/>
      <c r="C143" s="4"/>
      <c r="D143" s="4"/>
      <c r="E143" s="57"/>
      <c r="F143" s="4"/>
      <c r="G143" s="10"/>
      <c r="H143" s="7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4.25" customHeight="1">
      <c r="A144" s="4"/>
      <c r="B144" s="4"/>
      <c r="C144" s="4"/>
      <c r="D144" s="4"/>
      <c r="E144" s="57"/>
      <c r="F144" s="4"/>
      <c r="G144" s="10"/>
      <c r="H144" s="7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4.25" customHeight="1">
      <c r="A145" s="4"/>
      <c r="B145" s="4"/>
      <c r="C145" s="4"/>
      <c r="D145" s="4"/>
      <c r="E145" s="57"/>
      <c r="F145" s="4"/>
      <c r="G145" s="10"/>
      <c r="H145" s="7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4.25" customHeight="1">
      <c r="A146" s="4"/>
      <c r="B146" s="4"/>
      <c r="C146" s="4"/>
      <c r="D146" s="4"/>
      <c r="E146" s="57"/>
      <c r="F146" s="4"/>
      <c r="G146" s="10"/>
      <c r="H146" s="7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4.25" customHeight="1">
      <c r="A147" s="4"/>
      <c r="B147" s="4"/>
      <c r="C147" s="4"/>
      <c r="D147" s="4"/>
      <c r="E147" s="57"/>
      <c r="F147" s="4"/>
      <c r="G147" s="10"/>
      <c r="H147" s="7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4.25" customHeight="1">
      <c r="A148" s="4"/>
      <c r="B148" s="4"/>
      <c r="C148" s="4"/>
      <c r="D148" s="4"/>
      <c r="E148" s="57"/>
      <c r="F148" s="4"/>
      <c r="G148" s="10"/>
      <c r="H148" s="7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4.25" customHeight="1">
      <c r="A149" s="4"/>
      <c r="B149" s="4"/>
      <c r="C149" s="4"/>
      <c r="D149" s="4"/>
      <c r="E149" s="57"/>
      <c r="F149" s="4"/>
      <c r="G149" s="10"/>
      <c r="H149" s="7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4.25" customHeight="1">
      <c r="A150" s="4"/>
      <c r="B150" s="4"/>
      <c r="C150" s="4"/>
      <c r="D150" s="4"/>
      <c r="E150" s="57"/>
      <c r="F150" s="4"/>
      <c r="G150" s="10"/>
      <c r="H150" s="7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4.25" customHeight="1">
      <c r="A151" s="4"/>
      <c r="B151" s="4"/>
      <c r="C151" s="4"/>
      <c r="D151" s="4"/>
      <c r="E151" s="57"/>
      <c r="F151" s="4"/>
      <c r="G151" s="10"/>
      <c r="H151" s="7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4.25" customHeight="1">
      <c r="A152" s="4"/>
      <c r="B152" s="4"/>
      <c r="C152" s="4"/>
      <c r="D152" s="4"/>
      <c r="E152" s="57"/>
      <c r="F152" s="4"/>
      <c r="G152" s="10"/>
      <c r="H152" s="7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4.25" customHeight="1">
      <c r="A153" s="4"/>
      <c r="B153" s="4"/>
      <c r="C153" s="4"/>
      <c r="D153" s="4"/>
      <c r="E153" s="57"/>
      <c r="F153" s="4"/>
      <c r="G153" s="10"/>
      <c r="H153" s="7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4.25" customHeight="1">
      <c r="A154" s="4"/>
      <c r="B154" s="4"/>
      <c r="C154" s="4"/>
      <c r="D154" s="4"/>
      <c r="E154" s="57"/>
      <c r="F154" s="4"/>
      <c r="G154" s="10"/>
      <c r="H154" s="7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4.25" customHeight="1">
      <c r="A155" s="4"/>
      <c r="B155" s="4"/>
      <c r="C155" s="4"/>
      <c r="D155" s="4"/>
      <c r="E155" s="57"/>
      <c r="F155" s="4"/>
      <c r="G155" s="10"/>
      <c r="H155" s="7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4.25" customHeight="1">
      <c r="A156" s="4"/>
      <c r="B156" s="4"/>
      <c r="C156" s="4"/>
      <c r="D156" s="4"/>
      <c r="E156" s="57"/>
      <c r="F156" s="4"/>
      <c r="G156" s="10"/>
      <c r="H156" s="7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4.25" customHeight="1">
      <c r="A157" s="4"/>
      <c r="B157" s="4"/>
      <c r="C157" s="4"/>
      <c r="D157" s="4"/>
      <c r="E157" s="57"/>
      <c r="F157" s="4"/>
      <c r="G157" s="10"/>
      <c r="H157" s="7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4.25" customHeight="1">
      <c r="A158" s="4"/>
      <c r="B158" s="4"/>
      <c r="C158" s="4"/>
      <c r="D158" s="4"/>
      <c r="E158" s="57"/>
      <c r="F158" s="4"/>
      <c r="G158" s="10"/>
      <c r="H158" s="7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4.25" customHeight="1">
      <c r="A159" s="4"/>
      <c r="B159" s="4"/>
      <c r="C159" s="4"/>
      <c r="D159" s="4"/>
      <c r="E159" s="57"/>
      <c r="F159" s="4"/>
      <c r="G159" s="10"/>
      <c r="H159" s="7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4.25" customHeight="1">
      <c r="A160" s="4"/>
      <c r="B160" s="4"/>
      <c r="C160" s="4"/>
      <c r="D160" s="4"/>
      <c r="E160" s="57"/>
      <c r="F160" s="4"/>
      <c r="G160" s="10"/>
      <c r="H160" s="7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4.25" customHeight="1">
      <c r="A161" s="4"/>
      <c r="B161" s="4"/>
      <c r="C161" s="4"/>
      <c r="D161" s="4"/>
      <c r="E161" s="57"/>
      <c r="F161" s="4"/>
      <c r="G161" s="10"/>
      <c r="H161" s="7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4.25" customHeight="1">
      <c r="A162" s="4"/>
      <c r="B162" s="4"/>
      <c r="C162" s="4"/>
      <c r="D162" s="4"/>
      <c r="E162" s="57"/>
      <c r="F162" s="4"/>
      <c r="G162" s="10"/>
      <c r="H162" s="7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4.25" customHeight="1">
      <c r="A163" s="4"/>
      <c r="B163" s="4"/>
      <c r="C163" s="4"/>
      <c r="D163" s="4"/>
      <c r="E163" s="57"/>
      <c r="F163" s="4"/>
      <c r="G163" s="10"/>
      <c r="H163" s="7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4.25" customHeight="1">
      <c r="A164" s="4"/>
      <c r="B164" s="4"/>
      <c r="C164" s="4"/>
      <c r="D164" s="4"/>
      <c r="E164" s="57"/>
      <c r="F164" s="4"/>
      <c r="G164" s="10"/>
      <c r="H164" s="7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4.25" customHeight="1">
      <c r="A165" s="4"/>
      <c r="B165" s="4"/>
      <c r="C165" s="4"/>
      <c r="D165" s="4"/>
      <c r="E165" s="57"/>
      <c r="F165" s="4"/>
      <c r="G165" s="10"/>
      <c r="H165" s="7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4.25" customHeight="1">
      <c r="A166" s="4"/>
      <c r="B166" s="4"/>
      <c r="C166" s="4"/>
      <c r="D166" s="4"/>
      <c r="E166" s="57"/>
      <c r="F166" s="4"/>
      <c r="G166" s="10"/>
      <c r="H166" s="7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4.25" customHeight="1">
      <c r="A167" s="4"/>
      <c r="B167" s="4"/>
      <c r="C167" s="4"/>
      <c r="D167" s="4"/>
      <c r="E167" s="57"/>
      <c r="F167" s="4"/>
      <c r="G167" s="10"/>
      <c r="H167" s="7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4.25" customHeight="1">
      <c r="A168" s="4"/>
      <c r="B168" s="4"/>
      <c r="C168" s="4"/>
      <c r="D168" s="4"/>
      <c r="E168" s="57"/>
      <c r="F168" s="4"/>
      <c r="G168" s="10"/>
      <c r="H168" s="7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4.25" customHeight="1">
      <c r="A169" s="4"/>
      <c r="B169" s="4"/>
      <c r="C169" s="4"/>
      <c r="D169" s="4"/>
      <c r="E169" s="57"/>
      <c r="F169" s="4"/>
      <c r="G169" s="10"/>
      <c r="H169" s="7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4.25" customHeight="1">
      <c r="A170" s="4"/>
      <c r="B170" s="4"/>
      <c r="C170" s="4"/>
      <c r="D170" s="4"/>
      <c r="E170" s="57"/>
      <c r="F170" s="4"/>
      <c r="G170" s="10"/>
      <c r="H170" s="7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4.25" customHeight="1">
      <c r="A171" s="4"/>
      <c r="B171" s="4"/>
      <c r="C171" s="4"/>
      <c r="D171" s="4"/>
      <c r="E171" s="57"/>
      <c r="F171" s="4"/>
      <c r="G171" s="10"/>
      <c r="H171" s="7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4.25" customHeight="1">
      <c r="A172" s="4"/>
      <c r="B172" s="4"/>
      <c r="C172" s="4"/>
      <c r="D172" s="4"/>
      <c r="E172" s="57"/>
      <c r="F172" s="4"/>
      <c r="G172" s="10"/>
      <c r="H172" s="7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4.25" customHeight="1">
      <c r="A173" s="4"/>
      <c r="B173" s="4"/>
      <c r="C173" s="4"/>
      <c r="D173" s="4"/>
      <c r="E173" s="57"/>
      <c r="F173" s="4"/>
      <c r="G173" s="10"/>
      <c r="H173" s="7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4.25" customHeight="1">
      <c r="A174" s="4"/>
      <c r="B174" s="4"/>
      <c r="C174" s="4"/>
      <c r="D174" s="4"/>
      <c r="E174" s="57"/>
      <c r="F174" s="4"/>
      <c r="G174" s="10"/>
      <c r="H174" s="7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4.25" customHeight="1">
      <c r="A175" s="4"/>
      <c r="B175" s="4"/>
      <c r="C175" s="4"/>
      <c r="D175" s="4"/>
      <c r="E175" s="57"/>
      <c r="F175" s="4"/>
      <c r="G175" s="10"/>
      <c r="H175" s="7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4.25" customHeight="1">
      <c r="A176" s="4"/>
      <c r="B176" s="4"/>
      <c r="C176" s="4"/>
      <c r="D176" s="4"/>
      <c r="E176" s="57"/>
      <c r="F176" s="4"/>
      <c r="G176" s="10"/>
      <c r="H176" s="7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4.25" customHeight="1">
      <c r="A177" s="4"/>
      <c r="B177" s="4"/>
      <c r="C177" s="4"/>
      <c r="D177" s="4"/>
      <c r="E177" s="57"/>
      <c r="F177" s="4"/>
      <c r="G177" s="10"/>
      <c r="H177" s="7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4.25" customHeight="1">
      <c r="A178" s="4"/>
      <c r="B178" s="4"/>
      <c r="C178" s="4"/>
      <c r="D178" s="4"/>
      <c r="E178" s="57"/>
      <c r="F178" s="4"/>
      <c r="G178" s="10"/>
      <c r="H178" s="7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4.25" customHeight="1">
      <c r="A179" s="4"/>
      <c r="B179" s="4"/>
      <c r="C179" s="4"/>
      <c r="D179" s="4"/>
      <c r="E179" s="57"/>
      <c r="F179" s="4"/>
      <c r="G179" s="10"/>
      <c r="H179" s="7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4.25" customHeight="1">
      <c r="A180" s="4"/>
      <c r="B180" s="4"/>
      <c r="C180" s="4"/>
      <c r="D180" s="4"/>
      <c r="E180" s="57"/>
      <c r="F180" s="4"/>
      <c r="G180" s="10"/>
      <c r="H180" s="7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4.25" customHeight="1">
      <c r="A181" s="4"/>
      <c r="B181" s="4"/>
      <c r="C181" s="4"/>
      <c r="D181" s="4"/>
      <c r="E181" s="57"/>
      <c r="F181" s="4"/>
      <c r="G181" s="10"/>
      <c r="H181" s="7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4.25" customHeight="1">
      <c r="A182" s="4"/>
      <c r="B182" s="4"/>
      <c r="C182" s="4"/>
      <c r="D182" s="4"/>
      <c r="E182" s="57"/>
      <c r="F182" s="4"/>
      <c r="G182" s="10"/>
      <c r="H182" s="7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4.25" customHeight="1">
      <c r="A183" s="4"/>
      <c r="B183" s="4"/>
      <c r="C183" s="4"/>
      <c r="D183" s="4"/>
      <c r="E183" s="57"/>
      <c r="F183" s="4"/>
      <c r="G183" s="10"/>
      <c r="H183" s="7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4.25" customHeight="1">
      <c r="A184" s="4"/>
      <c r="B184" s="4"/>
      <c r="C184" s="4"/>
      <c r="D184" s="4"/>
      <c r="E184" s="57"/>
      <c r="F184" s="4"/>
      <c r="G184" s="10"/>
      <c r="H184" s="7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4.25" customHeight="1">
      <c r="A185" s="4"/>
      <c r="B185" s="4"/>
      <c r="C185" s="4"/>
      <c r="D185" s="4"/>
      <c r="E185" s="57"/>
      <c r="F185" s="4"/>
      <c r="G185" s="10"/>
      <c r="H185" s="7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4.25" customHeight="1">
      <c r="A186" s="4"/>
      <c r="B186" s="4"/>
      <c r="C186" s="4"/>
      <c r="D186" s="4"/>
      <c r="E186" s="57"/>
      <c r="F186" s="4"/>
      <c r="G186" s="10"/>
      <c r="H186" s="7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4.25" customHeight="1">
      <c r="A187" s="4"/>
      <c r="B187" s="4"/>
      <c r="C187" s="4"/>
      <c r="D187" s="4"/>
      <c r="E187" s="57"/>
      <c r="F187" s="4"/>
      <c r="G187" s="10"/>
      <c r="H187" s="7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4.25" customHeight="1">
      <c r="A188" s="4"/>
      <c r="B188" s="4"/>
      <c r="C188" s="4"/>
      <c r="D188" s="4"/>
      <c r="E188" s="57"/>
      <c r="F188" s="4"/>
      <c r="G188" s="10"/>
      <c r="H188" s="7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4.25" customHeight="1">
      <c r="A189" s="4"/>
      <c r="B189" s="4"/>
      <c r="C189" s="4"/>
      <c r="D189" s="4"/>
      <c r="E189" s="57"/>
      <c r="F189" s="4"/>
      <c r="G189" s="10"/>
      <c r="H189" s="7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4.25" customHeight="1">
      <c r="A190" s="4"/>
      <c r="B190" s="4"/>
      <c r="C190" s="4"/>
      <c r="D190" s="4"/>
      <c r="E190" s="57"/>
      <c r="F190" s="4"/>
      <c r="G190" s="10"/>
      <c r="H190" s="7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4.25" customHeight="1">
      <c r="A191" s="4"/>
      <c r="B191" s="4"/>
      <c r="C191" s="4"/>
      <c r="D191" s="4"/>
      <c r="E191" s="57"/>
      <c r="F191" s="4"/>
      <c r="G191" s="10"/>
      <c r="H191" s="7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4.25" customHeight="1">
      <c r="A192" s="4"/>
      <c r="B192" s="4"/>
      <c r="C192" s="4"/>
      <c r="D192" s="4"/>
      <c r="E192" s="57"/>
      <c r="F192" s="4"/>
      <c r="G192" s="10"/>
      <c r="H192" s="7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4.25" customHeight="1">
      <c r="A193" s="4"/>
      <c r="B193" s="4"/>
      <c r="C193" s="4"/>
      <c r="D193" s="4"/>
      <c r="E193" s="57"/>
      <c r="F193" s="4"/>
      <c r="G193" s="10"/>
      <c r="H193" s="7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4.25" customHeight="1">
      <c r="A194" s="4"/>
      <c r="B194" s="4"/>
      <c r="C194" s="4"/>
      <c r="D194" s="4"/>
      <c r="E194" s="57"/>
      <c r="F194" s="4"/>
      <c r="G194" s="10"/>
      <c r="H194" s="7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4.25" customHeight="1">
      <c r="A195" s="4"/>
      <c r="B195" s="4"/>
      <c r="C195" s="4"/>
      <c r="D195" s="4"/>
      <c r="E195" s="57"/>
      <c r="F195" s="4"/>
      <c r="G195" s="10"/>
      <c r="H195" s="7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4.25" customHeight="1">
      <c r="A196" s="4"/>
      <c r="B196" s="4"/>
      <c r="C196" s="4"/>
      <c r="D196" s="4"/>
      <c r="E196" s="57"/>
      <c r="F196" s="4"/>
      <c r="G196" s="10"/>
      <c r="H196" s="7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4.25" customHeight="1">
      <c r="A197" s="4"/>
      <c r="B197" s="4"/>
      <c r="C197" s="4"/>
      <c r="D197" s="4"/>
      <c r="E197" s="57"/>
      <c r="F197" s="4"/>
      <c r="G197" s="10"/>
      <c r="H197" s="7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4.25" customHeight="1">
      <c r="A198" s="4"/>
      <c r="B198" s="4"/>
      <c r="C198" s="4"/>
      <c r="D198" s="4"/>
      <c r="E198" s="57"/>
      <c r="F198" s="4"/>
      <c r="G198" s="10"/>
      <c r="H198" s="7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4.25" customHeight="1">
      <c r="A199" s="4"/>
      <c r="B199" s="4"/>
      <c r="C199" s="4"/>
      <c r="D199" s="4"/>
      <c r="E199" s="57"/>
      <c r="F199" s="4"/>
      <c r="G199" s="10"/>
      <c r="H199" s="7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4.25" customHeight="1">
      <c r="A200" s="4"/>
      <c r="B200" s="4"/>
      <c r="C200" s="4"/>
      <c r="D200" s="4"/>
      <c r="E200" s="57"/>
      <c r="F200" s="4"/>
      <c r="G200" s="10"/>
      <c r="H200" s="7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4.25" customHeight="1">
      <c r="A201" s="4"/>
      <c r="B201" s="4"/>
      <c r="C201" s="4"/>
      <c r="D201" s="4"/>
      <c r="E201" s="57"/>
      <c r="F201" s="4"/>
      <c r="G201" s="10"/>
      <c r="H201" s="7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4.25" customHeight="1">
      <c r="A202" s="4"/>
      <c r="B202" s="4"/>
      <c r="C202" s="4"/>
      <c r="D202" s="4"/>
      <c r="E202" s="57"/>
      <c r="F202" s="4"/>
      <c r="G202" s="10"/>
      <c r="H202" s="7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4.25" customHeight="1">
      <c r="A203" s="4"/>
      <c r="B203" s="4"/>
      <c r="C203" s="4"/>
      <c r="D203" s="4"/>
      <c r="E203" s="57"/>
      <c r="F203" s="4"/>
      <c r="G203" s="10"/>
      <c r="H203" s="7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4.25" customHeight="1">
      <c r="A204" s="4"/>
      <c r="B204" s="4"/>
      <c r="C204" s="4"/>
      <c r="D204" s="4"/>
      <c r="E204" s="57"/>
      <c r="F204" s="4"/>
      <c r="G204" s="10"/>
      <c r="H204" s="7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4.25" customHeight="1">
      <c r="A205" s="4"/>
      <c r="B205" s="4"/>
      <c r="C205" s="4"/>
      <c r="D205" s="4"/>
      <c r="E205" s="57"/>
      <c r="F205" s="4"/>
      <c r="G205" s="10"/>
      <c r="H205" s="7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4.25" customHeight="1">
      <c r="A206" s="4"/>
      <c r="B206" s="4"/>
      <c r="C206" s="4"/>
      <c r="D206" s="4"/>
      <c r="E206" s="57"/>
      <c r="F206" s="4"/>
      <c r="G206" s="10"/>
      <c r="H206" s="7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4.25" customHeight="1">
      <c r="A207" s="4"/>
      <c r="B207" s="4"/>
      <c r="C207" s="4"/>
      <c r="D207" s="4"/>
      <c r="E207" s="57"/>
      <c r="F207" s="4"/>
      <c r="G207" s="10"/>
      <c r="H207" s="7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4.25" customHeight="1">
      <c r="A208" s="4"/>
      <c r="B208" s="4"/>
      <c r="C208" s="4"/>
      <c r="D208" s="4"/>
      <c r="E208" s="57"/>
      <c r="F208" s="4"/>
      <c r="G208" s="10"/>
      <c r="H208" s="7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4.25" customHeight="1">
      <c r="A209" s="4"/>
      <c r="B209" s="4"/>
      <c r="C209" s="4"/>
      <c r="D209" s="4"/>
      <c r="E209" s="57"/>
      <c r="F209" s="4"/>
      <c r="G209" s="10"/>
      <c r="H209" s="7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4.25" customHeight="1">
      <c r="A210" s="4"/>
      <c r="B210" s="4"/>
      <c r="C210" s="4"/>
      <c r="D210" s="4"/>
      <c r="E210" s="57"/>
      <c r="F210" s="4"/>
      <c r="G210" s="10"/>
      <c r="H210" s="7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4.25" customHeight="1">
      <c r="A211" s="4"/>
      <c r="B211" s="4"/>
      <c r="C211" s="4"/>
      <c r="D211" s="4"/>
      <c r="E211" s="57"/>
      <c r="F211" s="4"/>
      <c r="G211" s="10"/>
      <c r="H211" s="7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4.25" customHeight="1">
      <c r="A212" s="4"/>
      <c r="B212" s="4"/>
      <c r="C212" s="4"/>
      <c r="D212" s="4"/>
      <c r="E212" s="57"/>
      <c r="F212" s="4"/>
      <c r="G212" s="10"/>
      <c r="H212" s="7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4.25" customHeight="1">
      <c r="A213" s="4"/>
      <c r="B213" s="4"/>
      <c r="C213" s="4"/>
      <c r="D213" s="4"/>
      <c r="E213" s="57"/>
      <c r="F213" s="4"/>
      <c r="G213" s="10"/>
      <c r="H213" s="7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4.25" customHeight="1">
      <c r="A214" s="4"/>
      <c r="B214" s="4"/>
      <c r="C214" s="4"/>
      <c r="D214" s="4"/>
      <c r="E214" s="57"/>
      <c r="F214" s="4"/>
      <c r="G214" s="10"/>
      <c r="H214" s="7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4.25" customHeight="1">
      <c r="A215" s="4"/>
      <c r="B215" s="4"/>
      <c r="C215" s="4"/>
      <c r="D215" s="4"/>
      <c r="E215" s="57"/>
      <c r="F215" s="4"/>
      <c r="G215" s="10"/>
      <c r="H215" s="7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4.25" customHeight="1">
      <c r="A216" s="4"/>
      <c r="B216" s="4"/>
      <c r="C216" s="4"/>
      <c r="D216" s="4"/>
      <c r="E216" s="57"/>
      <c r="F216" s="4"/>
      <c r="G216" s="10"/>
      <c r="H216" s="7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4.25" customHeight="1">
      <c r="A217" s="4"/>
      <c r="B217" s="4"/>
      <c r="C217" s="4"/>
      <c r="D217" s="4"/>
      <c r="E217" s="57"/>
      <c r="F217" s="4"/>
      <c r="G217" s="10"/>
      <c r="H217" s="7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4.25" customHeight="1">
      <c r="A218" s="4"/>
      <c r="B218" s="4"/>
      <c r="C218" s="4"/>
      <c r="D218" s="4"/>
      <c r="E218" s="57"/>
      <c r="F218" s="4"/>
      <c r="G218" s="10"/>
      <c r="H218" s="7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4.25" customHeight="1">
      <c r="A219" s="4"/>
      <c r="B219" s="4"/>
      <c r="C219" s="4"/>
      <c r="D219" s="4"/>
      <c r="E219" s="57"/>
      <c r="F219" s="4"/>
      <c r="G219" s="10"/>
      <c r="H219" s="7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4.25" customHeight="1">
      <c r="A220" s="4"/>
      <c r="B220" s="4"/>
      <c r="C220" s="4"/>
      <c r="D220" s="4"/>
      <c r="E220" s="57"/>
      <c r="F220" s="4"/>
      <c r="G220" s="10"/>
      <c r="H220" s="7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4.25" customHeight="1">
      <c r="A221" s="4"/>
      <c r="B221" s="4"/>
      <c r="C221" s="4"/>
      <c r="D221" s="4"/>
      <c r="E221" s="57"/>
      <c r="F221" s="4"/>
      <c r="G221" s="10"/>
      <c r="H221" s="7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4.25" customHeight="1">
      <c r="A222" s="4"/>
      <c r="B222" s="4"/>
      <c r="C222" s="4"/>
      <c r="D222" s="4"/>
      <c r="E222" s="57"/>
      <c r="F222" s="4"/>
      <c r="G222" s="10"/>
      <c r="H222" s="7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4.25" customHeight="1">
      <c r="A223" s="4"/>
      <c r="B223" s="4"/>
      <c r="C223" s="4"/>
      <c r="D223" s="4"/>
      <c r="E223" s="57"/>
      <c r="F223" s="4"/>
      <c r="G223" s="10"/>
      <c r="H223" s="7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4.25" customHeight="1">
      <c r="A224" s="4"/>
      <c r="B224" s="4"/>
      <c r="C224" s="4"/>
      <c r="D224" s="4"/>
      <c r="E224" s="57"/>
      <c r="F224" s="4"/>
      <c r="G224" s="10"/>
      <c r="H224" s="7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4.25" customHeight="1">
      <c r="A225" s="4"/>
      <c r="B225" s="4"/>
      <c r="C225" s="4"/>
      <c r="D225" s="4"/>
      <c r="E225" s="57"/>
      <c r="F225" s="4"/>
      <c r="G225" s="10"/>
      <c r="H225" s="7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4.25" customHeight="1">
      <c r="A226" s="4"/>
      <c r="B226" s="4"/>
      <c r="C226" s="4"/>
      <c r="D226" s="4"/>
      <c r="E226" s="57"/>
      <c r="F226" s="4"/>
      <c r="G226" s="10"/>
      <c r="H226" s="7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4.25" customHeight="1">
      <c r="A227" s="4"/>
      <c r="B227" s="4"/>
      <c r="C227" s="4"/>
      <c r="D227" s="4"/>
      <c r="E227" s="57"/>
      <c r="F227" s="4"/>
      <c r="G227" s="10"/>
      <c r="H227" s="7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4.25" customHeight="1">
      <c r="A228" s="4"/>
      <c r="B228" s="4"/>
      <c r="C228" s="4"/>
      <c r="D228" s="4"/>
      <c r="E228" s="57"/>
      <c r="F228" s="4"/>
      <c r="G228" s="10"/>
      <c r="H228" s="7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4.25" customHeight="1">
      <c r="A229" s="4"/>
      <c r="B229" s="4"/>
      <c r="C229" s="4"/>
      <c r="D229" s="4"/>
      <c r="E229" s="57"/>
      <c r="F229" s="4"/>
      <c r="G229" s="10"/>
      <c r="H229" s="7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4.25" customHeight="1">
      <c r="A230" s="4"/>
      <c r="B230" s="4"/>
      <c r="C230" s="4"/>
      <c r="D230" s="4"/>
      <c r="E230" s="57"/>
      <c r="F230" s="4"/>
      <c r="G230" s="10"/>
      <c r="H230" s="7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4.25" customHeight="1">
      <c r="A231" s="4"/>
      <c r="B231" s="4"/>
      <c r="C231" s="4"/>
      <c r="D231" s="4"/>
      <c r="E231" s="57"/>
      <c r="F231" s="4"/>
      <c r="G231" s="10"/>
      <c r="H231" s="7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4.25" customHeight="1">
      <c r="A232" s="4"/>
      <c r="B232" s="4"/>
      <c r="C232" s="4"/>
      <c r="D232" s="4"/>
      <c r="E232" s="57"/>
      <c r="F232" s="4"/>
      <c r="G232" s="10"/>
      <c r="H232" s="7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4.25" customHeight="1">
      <c r="A233" s="4"/>
      <c r="B233" s="4"/>
      <c r="C233" s="4"/>
      <c r="D233" s="4"/>
      <c r="E233" s="57"/>
      <c r="F233" s="4"/>
      <c r="G233" s="10"/>
      <c r="H233" s="7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4.25" customHeight="1">
      <c r="A234" s="4"/>
      <c r="B234" s="4"/>
      <c r="C234" s="4"/>
      <c r="D234" s="4"/>
      <c r="E234" s="57"/>
      <c r="F234" s="4"/>
      <c r="G234" s="10"/>
      <c r="H234" s="7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4.25" customHeight="1">
      <c r="A235" s="4"/>
      <c r="B235" s="4"/>
      <c r="C235" s="4"/>
      <c r="D235" s="4"/>
      <c r="E235" s="57"/>
      <c r="F235" s="4"/>
      <c r="G235" s="10"/>
      <c r="H235" s="7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4.25" customHeight="1">
      <c r="A236" s="4"/>
      <c r="B236" s="4"/>
      <c r="C236" s="4"/>
      <c r="D236" s="4"/>
      <c r="E236" s="57"/>
      <c r="F236" s="4"/>
      <c r="G236" s="10"/>
      <c r="H236" s="7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4.25" customHeight="1">
      <c r="A237" s="4"/>
      <c r="B237" s="4"/>
      <c r="C237" s="4"/>
      <c r="D237" s="4"/>
      <c r="E237" s="57"/>
      <c r="F237" s="4"/>
      <c r="G237" s="10"/>
      <c r="H237" s="7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4.25" customHeight="1">
      <c r="A238" s="4"/>
      <c r="B238" s="4"/>
      <c r="C238" s="4"/>
      <c r="D238" s="4"/>
      <c r="E238" s="57"/>
      <c r="F238" s="4"/>
      <c r="G238" s="10"/>
      <c r="H238" s="7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4.25" customHeight="1">
      <c r="A239" s="4"/>
      <c r="B239" s="4"/>
      <c r="C239" s="4"/>
      <c r="D239" s="4"/>
      <c r="E239" s="57"/>
      <c r="F239" s="4"/>
      <c r="G239" s="10"/>
      <c r="H239" s="7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4.25" customHeight="1">
      <c r="A240" s="4"/>
      <c r="B240" s="4"/>
      <c r="C240" s="4"/>
      <c r="D240" s="4"/>
      <c r="E240" s="57"/>
      <c r="F240" s="4"/>
      <c r="G240" s="10"/>
      <c r="H240" s="7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4.25" customHeight="1">
      <c r="A241" s="4"/>
      <c r="B241" s="4"/>
      <c r="C241" s="4"/>
      <c r="D241" s="4"/>
      <c r="E241" s="57"/>
      <c r="F241" s="4"/>
      <c r="G241" s="10"/>
      <c r="H241" s="7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4.25" customHeight="1">
      <c r="A242" s="4"/>
      <c r="B242" s="4"/>
      <c r="C242" s="4"/>
      <c r="D242" s="4"/>
      <c r="E242" s="57"/>
      <c r="F242" s="4"/>
      <c r="G242" s="10"/>
      <c r="H242" s="7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4.25" customHeight="1">
      <c r="A243" s="4"/>
      <c r="B243" s="4"/>
      <c r="C243" s="4"/>
      <c r="D243" s="4"/>
      <c r="E243" s="57"/>
      <c r="F243" s="4"/>
      <c r="G243" s="10"/>
      <c r="H243" s="7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4.25" customHeight="1">
      <c r="A244" s="4"/>
      <c r="B244" s="4"/>
      <c r="C244" s="4"/>
      <c r="D244" s="4"/>
      <c r="E244" s="57"/>
      <c r="F244" s="4"/>
      <c r="G244" s="10"/>
      <c r="H244" s="7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4.25" customHeight="1">
      <c r="A245" s="4"/>
      <c r="B245" s="4"/>
      <c r="C245" s="4"/>
      <c r="D245" s="4"/>
      <c r="E245" s="57"/>
      <c r="F245" s="4"/>
      <c r="G245" s="10"/>
      <c r="H245" s="7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4.25" customHeight="1">
      <c r="A246" s="4"/>
      <c r="B246" s="4"/>
      <c r="C246" s="4"/>
      <c r="D246" s="4"/>
      <c r="E246" s="57"/>
      <c r="F246" s="4"/>
      <c r="G246" s="10"/>
      <c r="H246" s="7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4.25" customHeight="1">
      <c r="A247" s="4"/>
      <c r="B247" s="4"/>
      <c r="C247" s="4"/>
      <c r="D247" s="4"/>
      <c r="E247" s="57"/>
      <c r="F247" s="4"/>
      <c r="G247" s="10"/>
      <c r="H247" s="7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4.25" customHeight="1">
      <c r="A248" s="4"/>
      <c r="B248" s="4"/>
      <c r="C248" s="4"/>
      <c r="D248" s="4"/>
      <c r="E248" s="57"/>
      <c r="F248" s="4"/>
      <c r="G248" s="10"/>
      <c r="H248" s="7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4.25" customHeight="1">
      <c r="A249" s="4"/>
      <c r="B249" s="4"/>
      <c r="C249" s="4"/>
      <c r="D249" s="4"/>
      <c r="E249" s="57"/>
      <c r="F249" s="4"/>
      <c r="G249" s="10"/>
      <c r="H249" s="7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4.25" customHeight="1">
      <c r="A250" s="4"/>
      <c r="B250" s="4"/>
      <c r="C250" s="4"/>
      <c r="D250" s="4"/>
      <c r="E250" s="57"/>
      <c r="F250" s="4"/>
      <c r="G250" s="10"/>
      <c r="H250" s="7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4.25" customHeight="1">
      <c r="A251" s="4"/>
      <c r="B251" s="4"/>
      <c r="C251" s="4"/>
      <c r="D251" s="4"/>
      <c r="E251" s="57"/>
      <c r="F251" s="4"/>
      <c r="G251" s="10"/>
      <c r="H251" s="7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4.25" customHeight="1">
      <c r="A252" s="4"/>
      <c r="B252" s="4"/>
      <c r="C252" s="4"/>
      <c r="D252" s="4"/>
      <c r="E252" s="57"/>
      <c r="F252" s="4"/>
      <c r="G252" s="10"/>
      <c r="H252" s="7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4.25" customHeight="1">
      <c r="A253" s="4"/>
      <c r="B253" s="4"/>
      <c r="C253" s="4"/>
      <c r="D253" s="4"/>
      <c r="E253" s="57"/>
      <c r="F253" s="4"/>
      <c r="G253" s="10"/>
      <c r="H253" s="7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4.25" customHeight="1">
      <c r="A254" s="4"/>
      <c r="B254" s="4"/>
      <c r="C254" s="4"/>
      <c r="D254" s="4"/>
      <c r="E254" s="57"/>
      <c r="F254" s="4"/>
      <c r="G254" s="10"/>
      <c r="H254" s="7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4.25" customHeight="1">
      <c r="A255" s="4"/>
      <c r="B255" s="4"/>
      <c r="C255" s="4"/>
      <c r="D255" s="4"/>
      <c r="E255" s="57"/>
      <c r="F255" s="4"/>
      <c r="G255" s="10"/>
      <c r="H255" s="7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4.25" customHeight="1">
      <c r="A256" s="4"/>
      <c r="B256" s="4"/>
      <c r="C256" s="4"/>
      <c r="D256" s="4"/>
      <c r="E256" s="57"/>
      <c r="F256" s="4"/>
      <c r="G256" s="10"/>
      <c r="H256" s="7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4.25" customHeight="1">
      <c r="A257" s="4"/>
      <c r="B257" s="4"/>
      <c r="C257" s="4"/>
      <c r="D257" s="4"/>
      <c r="E257" s="57"/>
      <c r="F257" s="4"/>
      <c r="G257" s="10"/>
      <c r="H257" s="7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4.25" customHeight="1">
      <c r="A258" s="4"/>
      <c r="B258" s="4"/>
      <c r="C258" s="4"/>
      <c r="D258" s="4"/>
      <c r="E258" s="57"/>
      <c r="F258" s="4"/>
      <c r="G258" s="10"/>
      <c r="H258" s="7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4.25" customHeight="1">
      <c r="A259" s="4"/>
      <c r="B259" s="4"/>
      <c r="C259" s="4"/>
      <c r="D259" s="4"/>
      <c r="E259" s="57"/>
      <c r="F259" s="4"/>
      <c r="G259" s="10"/>
      <c r="H259" s="7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4.25" customHeight="1">
      <c r="A260" s="4"/>
      <c r="B260" s="4"/>
      <c r="C260" s="4"/>
      <c r="D260" s="4"/>
      <c r="E260" s="57"/>
      <c r="F260" s="4"/>
      <c r="G260" s="10"/>
      <c r="H260" s="7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4.25" customHeight="1">
      <c r="A261" s="4"/>
      <c r="B261" s="4"/>
      <c r="C261" s="4"/>
      <c r="D261" s="4"/>
      <c r="E261" s="57"/>
      <c r="F261" s="4"/>
      <c r="G261" s="10"/>
      <c r="H261" s="7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4.25" customHeight="1">
      <c r="A262" s="4"/>
      <c r="B262" s="4"/>
      <c r="C262" s="4"/>
      <c r="D262" s="4"/>
      <c r="E262" s="57"/>
      <c r="F262" s="4"/>
      <c r="G262" s="10"/>
      <c r="H262" s="7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4.25" customHeight="1">
      <c r="A263" s="4"/>
      <c r="B263" s="4"/>
      <c r="C263" s="4"/>
      <c r="D263" s="4"/>
      <c r="E263" s="57"/>
      <c r="F263" s="4"/>
      <c r="G263" s="10"/>
      <c r="H263" s="7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4.25" customHeight="1">
      <c r="A264" s="4"/>
      <c r="B264" s="4"/>
      <c r="C264" s="4"/>
      <c r="D264" s="4"/>
      <c r="E264" s="57"/>
      <c r="F264" s="4"/>
      <c r="G264" s="10"/>
      <c r="H264" s="7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4.25" customHeight="1">
      <c r="A265" s="4"/>
      <c r="B265" s="4"/>
      <c r="C265" s="4"/>
      <c r="D265" s="4"/>
      <c r="E265" s="57"/>
      <c r="F265" s="4"/>
      <c r="G265" s="10"/>
      <c r="H265" s="7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4.25" customHeight="1">
      <c r="A266" s="4"/>
      <c r="B266" s="4"/>
      <c r="C266" s="4"/>
      <c r="D266" s="4"/>
      <c r="E266" s="57"/>
      <c r="F266" s="4"/>
      <c r="G266" s="10"/>
      <c r="H266" s="7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4.25" customHeight="1">
      <c r="A267" s="4"/>
      <c r="B267" s="4"/>
      <c r="C267" s="4"/>
      <c r="D267" s="4"/>
      <c r="E267" s="57"/>
      <c r="F267" s="4"/>
      <c r="G267" s="10"/>
      <c r="H267" s="7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4.25" customHeight="1">
      <c r="A268" s="4"/>
      <c r="B268" s="4"/>
      <c r="C268" s="4"/>
      <c r="D268" s="4"/>
      <c r="E268" s="57"/>
      <c r="F268" s="4"/>
      <c r="G268" s="10"/>
      <c r="H268" s="7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4.25" customHeight="1">
      <c r="A269" s="4"/>
      <c r="B269" s="4"/>
      <c r="C269" s="4"/>
      <c r="D269" s="4"/>
      <c r="E269" s="57"/>
      <c r="F269" s="4"/>
      <c r="G269" s="10"/>
      <c r="H269" s="7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4.25" customHeight="1">
      <c r="A270" s="4"/>
      <c r="B270" s="4"/>
      <c r="C270" s="4"/>
      <c r="D270" s="4"/>
      <c r="E270" s="57"/>
      <c r="F270" s="4"/>
      <c r="G270" s="10"/>
      <c r="H270" s="7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4.25" customHeight="1">
      <c r="A271" s="4"/>
      <c r="B271" s="4"/>
      <c r="C271" s="4"/>
      <c r="D271" s="4"/>
      <c r="E271" s="57"/>
      <c r="F271" s="4"/>
      <c r="G271" s="10"/>
      <c r="H271" s="7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4.25" customHeight="1">
      <c r="A272" s="4"/>
      <c r="B272" s="4"/>
      <c r="C272" s="4"/>
      <c r="D272" s="4"/>
      <c r="E272" s="57"/>
      <c r="F272" s="4"/>
      <c r="G272" s="10"/>
      <c r="H272" s="7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4.25" customHeight="1">
      <c r="A273" s="4"/>
      <c r="B273" s="4"/>
      <c r="C273" s="4"/>
      <c r="D273" s="4"/>
      <c r="E273" s="57"/>
      <c r="F273" s="4"/>
      <c r="G273" s="10"/>
      <c r="H273" s="7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4.25" customHeight="1">
      <c r="A274" s="4"/>
      <c r="B274" s="4"/>
      <c r="C274" s="4"/>
      <c r="D274" s="4"/>
      <c r="E274" s="57"/>
      <c r="F274" s="4"/>
      <c r="G274" s="10"/>
      <c r="H274" s="7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4.25" customHeight="1">
      <c r="A275" s="4"/>
      <c r="B275" s="4"/>
      <c r="C275" s="4"/>
      <c r="D275" s="4"/>
      <c r="E275" s="57"/>
      <c r="F275" s="4"/>
      <c r="G275" s="10"/>
      <c r="H275" s="7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4.25" customHeight="1">
      <c r="A276" s="4"/>
      <c r="B276" s="4"/>
      <c r="C276" s="4"/>
      <c r="D276" s="4"/>
      <c r="E276" s="57"/>
      <c r="F276" s="4"/>
      <c r="G276" s="10"/>
      <c r="H276" s="7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5.75" customHeight="1"/>
    <row r="278" spans="1:37" ht="15.75" customHeight="1"/>
    <row r="279" spans="1:37" ht="15.75" customHeight="1"/>
    <row r="280" spans="1:37" ht="15.75" customHeight="1"/>
    <row r="281" spans="1:37" ht="15.75" customHeight="1"/>
    <row r="282" spans="1:37" ht="15.75" customHeight="1"/>
    <row r="283" spans="1:37" ht="15.75" customHeight="1"/>
    <row r="284" spans="1:37" ht="15.75" customHeight="1"/>
    <row r="285" spans="1:37" ht="15.75" customHeight="1"/>
    <row r="286" spans="1:37" ht="15.75" customHeight="1"/>
    <row r="287" spans="1:37" ht="15.75" customHeight="1"/>
    <row r="288" spans="1:3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K8:L40" xr:uid="{00000000-0009-0000-0000-000017000000}">
    <sortState xmlns:xlrd2="http://schemas.microsoft.com/office/spreadsheetml/2017/richdata2" ref="K9:L40">
      <sortCondition descending="1" ref="L8:L40"/>
    </sortState>
  </autoFilter>
  <mergeCells count="30">
    <mergeCell ref="L62:M62"/>
    <mergeCell ref="N62:O62"/>
    <mergeCell ref="P62:P63"/>
    <mergeCell ref="A51:B51"/>
    <mergeCell ref="A52:B52"/>
    <mergeCell ref="A53:B53"/>
    <mergeCell ref="A54:B54"/>
    <mergeCell ref="I62:I63"/>
    <mergeCell ref="J62:J63"/>
    <mergeCell ref="A45:B45"/>
    <mergeCell ref="A46:B46"/>
    <mergeCell ref="A47:B47"/>
    <mergeCell ref="A48:B48"/>
    <mergeCell ref="A49:B49"/>
    <mergeCell ref="A50:B50"/>
    <mergeCell ref="I6:J7"/>
    <mergeCell ref="K6:L7"/>
    <mergeCell ref="A41:B41"/>
    <mergeCell ref="A42:B42"/>
    <mergeCell ref="A43:B43"/>
    <mergeCell ref="A44:B44"/>
    <mergeCell ref="A1:G1"/>
    <mergeCell ref="A2:G2"/>
    <mergeCell ref="A3:G3"/>
    <mergeCell ref="A4:G4"/>
    <mergeCell ref="A6:A7"/>
    <mergeCell ref="B6:B7"/>
    <mergeCell ref="C6:D6"/>
    <mergeCell ref="E6:F6"/>
    <mergeCell ref="G6:G7"/>
  </mergeCells>
  <hyperlinks>
    <hyperlink ref="F58" r:id="rId1" xr:uid="{248430B9-4E2A-4417-B3AD-465DDD007347}"/>
    <hyperlink ref="O60" r:id="rId2" xr:uid="{06555BA3-D70D-4311-ADA8-6AE12B94C988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Tembakau Total</vt:lpstr>
      <vt:lpstr>'Tembakau Total'!Z_3F279D1F_CFB3_4226_902F_136088D6AABE_.wvu.PrintArea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2025-09-01T04:21:12Z</dcterms:created>
  <dcterms:modified xsi:type="dcterms:W3CDTF">2025-09-01T04:21:22Z</dcterms:modified>
</cp:coreProperties>
</file>