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drawings/drawing30.xml" ContentType="application/vnd.openxmlformats-officedocument.drawing+xml"/>
  <Override PartName="/xl/ctrlProps/ctrlProp2.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60" windowWidth="10050" windowHeight="8085" firstSheet="1" activeTab="12"/>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 (2)" sheetId="45" r:id="rId12"/>
    <sheet name="RINCI 2" sheetId="13" r:id="rId13"/>
    <sheet name="RINCI 2 (2)" sheetId="44" r:id="rId14"/>
    <sheet name="RINCI 2 (3)" sheetId="46" r:id="rId15"/>
    <sheet name="GRAOMBO" sheetId="25" r:id="rId16"/>
    <sheet name="GR GJMUNGKUR" sheetId="26" state="hidden" r:id="rId17"/>
    <sheet name="GRAWDLTG" sheetId="27" state="hidden" r:id="rId18"/>
    <sheet name="GRASPOR" sheetId="28" state="hidden" r:id="rId19"/>
    <sheet name="GDIRMAN" sheetId="29" state="hidden" r:id="rId20"/>
    <sheet name="AREAL" sheetId="3" state="hidden" r:id="rId21"/>
    <sheet name="KDOMBO" sheetId="14" state="hidden" r:id="rId22"/>
    <sheet name="Compatibility Report" sheetId="34" state="hidden" r:id="rId23"/>
    <sheet name="Sheet1" sheetId="35" state="hidden" r:id="rId24"/>
    <sheet name="DATA" sheetId="40" r:id="rId25"/>
    <sheet name="Sheet3" sheetId="39" r:id="rId26"/>
  </sheets>
  <externalReferences>
    <externalReference r:id="rId27"/>
  </externalReferences>
  <definedNames>
    <definedName name="_xlnm.Print_Area" localSheetId="7">' '!$A$1:$H$50</definedName>
    <definedName name="_xlnm.Print_Area" localSheetId="9">ANALISA!$A$1:$R$57</definedName>
    <definedName name="_xlnm.Print_Area" localSheetId="20">AREAL!$A$3:$I$51</definedName>
    <definedName name="_xlnm.Print_Area" localSheetId="24">DATA!$AB$2:$AO$64</definedName>
    <definedName name="_xlnm.Print_Area" localSheetId="19">GDIRMAN!$A$1:$I$51</definedName>
    <definedName name="_xlnm.Print_Area" localSheetId="16">'GR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5">GRAOMBO!$A$1:$P$57</definedName>
    <definedName name="_xlnm.Print_Area" localSheetId="18">GRASPOR!$B$2:$G$53</definedName>
    <definedName name="_xlnm.Print_Area" localSheetId="17">GRAWDLTG!$B$1:$G$51</definedName>
    <definedName name="_xlnm.Print_Area" localSheetId="10">'RINCI 1'!$B$2:$J$62</definedName>
    <definedName name="_xlnm.Print_Area" localSheetId="11">'RINCI 1 (2)'!$B$2:$J$61</definedName>
    <definedName name="_xlnm.Print_Area" localSheetId="12">'RINCI 2'!$B$1:$J$51</definedName>
    <definedName name="_xlnm.Print_Area" localSheetId="13">'RINCI 2 (2)'!$B$1:$J$49</definedName>
    <definedName name="_xlnm.Print_Area" localSheetId="14">'RINCI 2 (3)'!$B$1:$J$49</definedName>
    <definedName name="_xlnm.Print_Area" localSheetId="8">UTAMA!$AB$2:$AO$64</definedName>
  </definedNames>
  <calcPr calcId="144525"/>
  <fileRecoveryPr autoRecover="0"/>
</workbook>
</file>

<file path=xl/calcChain.xml><?xml version="1.0" encoding="utf-8"?>
<calcChain xmlns="http://schemas.openxmlformats.org/spreadsheetml/2006/main">
  <c r="N33" i="30" l="1" a="1"/>
  <c r="N33" i="30" s="1"/>
  <c r="J55" i="11" l="1"/>
  <c r="D40" i="46" l="1"/>
  <c r="I39" i="46"/>
  <c r="H39" i="46"/>
  <c r="G39" i="46"/>
  <c r="F39" i="46"/>
  <c r="E39" i="46"/>
  <c r="I38" i="46"/>
  <c r="H38" i="46"/>
  <c r="G38" i="46"/>
  <c r="F38" i="46"/>
  <c r="E38" i="46"/>
  <c r="I37" i="46"/>
  <c r="H37" i="46"/>
  <c r="G37" i="46"/>
  <c r="F37" i="46"/>
  <c r="E37" i="46"/>
  <c r="I36" i="46"/>
  <c r="H36" i="46"/>
  <c r="G36" i="46"/>
  <c r="F36" i="46"/>
  <c r="E36" i="46"/>
  <c r="I35" i="46"/>
  <c r="H35" i="46"/>
  <c r="G35" i="46"/>
  <c r="F35" i="46"/>
  <c r="E35" i="46"/>
  <c r="I34" i="46"/>
  <c r="H34" i="46"/>
  <c r="G34" i="46"/>
  <c r="F34" i="46"/>
  <c r="E34" i="46"/>
  <c r="I33" i="46"/>
  <c r="H33" i="46"/>
  <c r="G33" i="46"/>
  <c r="F33" i="46"/>
  <c r="E33" i="46"/>
  <c r="I32" i="46"/>
  <c r="H32" i="46"/>
  <c r="G32" i="46"/>
  <c r="F32" i="46"/>
  <c r="E32" i="46"/>
  <c r="I31" i="46"/>
  <c r="H31" i="46"/>
  <c r="G31" i="46"/>
  <c r="F31" i="46"/>
  <c r="E31" i="46"/>
  <c r="I30" i="46"/>
  <c r="H30" i="46"/>
  <c r="G30" i="46"/>
  <c r="F30" i="46"/>
  <c r="E30" i="46"/>
  <c r="I29" i="46"/>
  <c r="H29" i="46"/>
  <c r="G29" i="46"/>
  <c r="F29" i="46"/>
  <c r="E29" i="46"/>
  <c r="I28" i="46"/>
  <c r="H28" i="46"/>
  <c r="G28" i="46"/>
  <c r="F28" i="46"/>
  <c r="E28" i="46"/>
  <c r="I27" i="46"/>
  <c r="H27" i="46"/>
  <c r="G27" i="46"/>
  <c r="F27" i="46"/>
  <c r="E27" i="46"/>
  <c r="I26" i="46"/>
  <c r="H26" i="46"/>
  <c r="G26" i="46"/>
  <c r="F26" i="46"/>
  <c r="E26" i="46"/>
  <c r="I25" i="46"/>
  <c r="H25" i="46"/>
  <c r="G25" i="46"/>
  <c r="F25" i="46"/>
  <c r="E25" i="46"/>
  <c r="I24" i="46"/>
  <c r="H24" i="46"/>
  <c r="G24" i="46"/>
  <c r="F24" i="46"/>
  <c r="E24" i="46"/>
  <c r="I23" i="46"/>
  <c r="H23" i="46"/>
  <c r="G23" i="46"/>
  <c r="F23" i="46"/>
  <c r="E23" i="46"/>
  <c r="I22" i="46"/>
  <c r="H22" i="46"/>
  <c r="G22" i="46"/>
  <c r="F22" i="46"/>
  <c r="E22" i="46"/>
  <c r="I21" i="46"/>
  <c r="H21" i="46"/>
  <c r="G21" i="46"/>
  <c r="F21" i="46"/>
  <c r="E21" i="46"/>
  <c r="I20" i="46"/>
  <c r="H20" i="46"/>
  <c r="G20" i="46"/>
  <c r="F20" i="46"/>
  <c r="E20" i="46"/>
  <c r="I19" i="46"/>
  <c r="H19" i="46"/>
  <c r="G19" i="46"/>
  <c r="F19" i="46"/>
  <c r="E19" i="46"/>
  <c r="I18" i="46"/>
  <c r="H18" i="46"/>
  <c r="G18" i="46"/>
  <c r="F18" i="46"/>
  <c r="E18" i="46"/>
  <c r="I17" i="46"/>
  <c r="H17" i="46"/>
  <c r="G17" i="46"/>
  <c r="F17" i="46"/>
  <c r="I16" i="46"/>
  <c r="H16" i="46"/>
  <c r="G16" i="46"/>
  <c r="F16" i="46"/>
  <c r="E16" i="46"/>
  <c r="I15" i="46"/>
  <c r="H15" i="46"/>
  <c r="G15" i="46"/>
  <c r="F15" i="46"/>
  <c r="E15" i="46"/>
  <c r="I14" i="46"/>
  <c r="H14" i="46"/>
  <c r="G14" i="46"/>
  <c r="F14" i="46"/>
  <c r="E14" i="46"/>
  <c r="I13" i="46"/>
  <c r="H13" i="46"/>
  <c r="G13" i="46"/>
  <c r="F13" i="46"/>
  <c r="E13" i="46"/>
  <c r="I12" i="46"/>
  <c r="H12" i="46"/>
  <c r="G12" i="46"/>
  <c r="F12" i="46"/>
  <c r="E12" i="46"/>
  <c r="I11" i="46"/>
  <c r="H11" i="46"/>
  <c r="G11" i="46"/>
  <c r="F11" i="46"/>
  <c r="E11" i="46"/>
  <c r="I10" i="46"/>
  <c r="H10" i="46"/>
  <c r="G10" i="46"/>
  <c r="F10" i="46"/>
  <c r="E10" i="46"/>
  <c r="B10" i="46"/>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I9" i="46"/>
  <c r="H9" i="46"/>
  <c r="G9" i="46"/>
  <c r="F9" i="46"/>
  <c r="E9" i="46"/>
  <c r="E40" i="46" s="1"/>
  <c r="B4" i="46"/>
  <c r="D19" i="45"/>
  <c r="I18" i="45"/>
  <c r="H18" i="45"/>
  <c r="G18" i="45"/>
  <c r="F18" i="45"/>
  <c r="E18" i="45"/>
  <c r="I17" i="45"/>
  <c r="H17" i="45"/>
  <c r="G17" i="45"/>
  <c r="F17" i="45"/>
  <c r="E17" i="45"/>
  <c r="I16" i="45"/>
  <c r="H16" i="45"/>
  <c r="G16" i="45"/>
  <c r="F16" i="45"/>
  <c r="E16" i="45"/>
  <c r="I15" i="45"/>
  <c r="H15" i="45"/>
  <c r="G15" i="45"/>
  <c r="F15" i="45"/>
  <c r="E15" i="45"/>
  <c r="I14" i="45"/>
  <c r="H14" i="45"/>
  <c r="G14" i="45"/>
  <c r="F14" i="45"/>
  <c r="E14" i="45"/>
  <c r="I13" i="45"/>
  <c r="H13" i="45"/>
  <c r="G13" i="45"/>
  <c r="F13" i="45"/>
  <c r="E13" i="45"/>
  <c r="I12" i="45"/>
  <c r="H12" i="45"/>
  <c r="G12" i="45"/>
  <c r="F12" i="45"/>
  <c r="I11" i="45"/>
  <c r="H11" i="45"/>
  <c r="G11" i="45"/>
  <c r="F11" i="45"/>
  <c r="E11" i="45"/>
  <c r="I10" i="45"/>
  <c r="H10" i="45"/>
  <c r="G10" i="45"/>
  <c r="F10" i="45"/>
  <c r="E10" i="45"/>
  <c r="B10" i="45"/>
  <c r="B11" i="45" s="1"/>
  <c r="B12" i="45" s="1"/>
  <c r="B13" i="45" s="1"/>
  <c r="B14" i="45" s="1"/>
  <c r="B15" i="45" s="1"/>
  <c r="B16" i="45" s="1"/>
  <c r="B17" i="45" s="1"/>
  <c r="B18" i="45" s="1"/>
  <c r="I9" i="45"/>
  <c r="H9" i="45"/>
  <c r="G9" i="45"/>
  <c r="F9" i="45"/>
  <c r="E9" i="45"/>
  <c r="B4" i="45"/>
  <c r="J16" i="45" l="1"/>
  <c r="J34" i="46"/>
  <c r="J23" i="46"/>
  <c r="J31" i="46"/>
  <c r="J38" i="46"/>
  <c r="J26" i="46"/>
  <c r="J10" i="46"/>
  <c r="J11" i="46"/>
  <c r="J16" i="46"/>
  <c r="J17" i="46"/>
  <c r="J18" i="46"/>
  <c r="J10" i="45"/>
  <c r="J14" i="45"/>
  <c r="J15" i="45"/>
  <c r="J33" i="46"/>
  <c r="J22" i="46"/>
  <c r="J30" i="46"/>
  <c r="J20" i="46"/>
  <c r="J39" i="46"/>
  <c r="J28" i="46"/>
  <c r="J25" i="46"/>
  <c r="J15" i="46"/>
  <c r="J13" i="46"/>
  <c r="I40" i="46"/>
  <c r="J12" i="46"/>
  <c r="J19" i="46"/>
  <c r="J29" i="46"/>
  <c r="J32" i="46"/>
  <c r="J35" i="46"/>
  <c r="J36" i="46"/>
  <c r="H40" i="46"/>
  <c r="J14" i="46"/>
  <c r="J21" i="46"/>
  <c r="J24" i="46"/>
  <c r="J27" i="46"/>
  <c r="J37" i="46"/>
  <c r="J9" i="46"/>
  <c r="H19" i="45"/>
  <c r="J11" i="45"/>
  <c r="J12" i="45"/>
  <c r="E19" i="45"/>
  <c r="J9" i="45"/>
  <c r="J13" i="45"/>
  <c r="J17" i="45"/>
  <c r="J18" i="45"/>
  <c r="I19" i="45"/>
  <c r="D40" i="44"/>
  <c r="I39" i="44"/>
  <c r="H39" i="44"/>
  <c r="G39" i="44"/>
  <c r="F39" i="44"/>
  <c r="E39" i="44"/>
  <c r="I38" i="44"/>
  <c r="H38" i="44"/>
  <c r="G38" i="44"/>
  <c r="F38" i="44"/>
  <c r="E38" i="44"/>
  <c r="I37" i="44"/>
  <c r="H37" i="44"/>
  <c r="G37" i="44"/>
  <c r="F37" i="44"/>
  <c r="E37" i="44"/>
  <c r="I36" i="44"/>
  <c r="H36" i="44"/>
  <c r="G36" i="44"/>
  <c r="F36" i="44"/>
  <c r="E36" i="44"/>
  <c r="I35" i="44"/>
  <c r="H35" i="44"/>
  <c r="G35" i="44"/>
  <c r="F35" i="44"/>
  <c r="E35" i="44"/>
  <c r="I34" i="44"/>
  <c r="H34" i="44"/>
  <c r="G34" i="44"/>
  <c r="F34" i="44"/>
  <c r="E34" i="44"/>
  <c r="I33" i="44"/>
  <c r="H33" i="44"/>
  <c r="G33" i="44"/>
  <c r="F33" i="44"/>
  <c r="E33" i="44"/>
  <c r="I32" i="44"/>
  <c r="H32" i="44"/>
  <c r="G32" i="44"/>
  <c r="F32" i="44"/>
  <c r="E32" i="44"/>
  <c r="I31" i="44"/>
  <c r="H31" i="44"/>
  <c r="G31" i="44"/>
  <c r="F31" i="44"/>
  <c r="E31" i="44"/>
  <c r="I30" i="44"/>
  <c r="H30" i="44"/>
  <c r="G30" i="44"/>
  <c r="F30" i="44"/>
  <c r="E30" i="44"/>
  <c r="I29" i="44"/>
  <c r="H29" i="44"/>
  <c r="G29" i="44"/>
  <c r="F29" i="44"/>
  <c r="E29" i="44"/>
  <c r="I28" i="44"/>
  <c r="H28" i="44"/>
  <c r="G28" i="44"/>
  <c r="F28" i="44"/>
  <c r="E28" i="44"/>
  <c r="I27" i="44"/>
  <c r="H27" i="44"/>
  <c r="G27" i="44"/>
  <c r="F27" i="44"/>
  <c r="E27" i="44"/>
  <c r="I26" i="44"/>
  <c r="H26" i="44"/>
  <c r="G26" i="44"/>
  <c r="F26" i="44"/>
  <c r="E26" i="44"/>
  <c r="I25" i="44"/>
  <c r="H25" i="44"/>
  <c r="G25" i="44"/>
  <c r="F25" i="44"/>
  <c r="E25" i="44"/>
  <c r="I24" i="44"/>
  <c r="H24" i="44"/>
  <c r="G24" i="44"/>
  <c r="F24" i="44"/>
  <c r="E24" i="44"/>
  <c r="I23" i="44"/>
  <c r="H23" i="44"/>
  <c r="G23" i="44"/>
  <c r="F23" i="44"/>
  <c r="E23" i="44"/>
  <c r="I22" i="44"/>
  <c r="H22" i="44"/>
  <c r="G22" i="44"/>
  <c r="F22" i="44"/>
  <c r="E22" i="44"/>
  <c r="I21" i="44"/>
  <c r="H21" i="44"/>
  <c r="G21" i="44"/>
  <c r="F21" i="44"/>
  <c r="E21" i="44"/>
  <c r="I20" i="44"/>
  <c r="H20" i="44"/>
  <c r="G20" i="44"/>
  <c r="F20" i="44"/>
  <c r="E20" i="44"/>
  <c r="I19" i="44"/>
  <c r="H19" i="44"/>
  <c r="G19" i="44"/>
  <c r="F19" i="44"/>
  <c r="E19" i="44"/>
  <c r="I18" i="44"/>
  <c r="H18" i="44"/>
  <c r="G18" i="44"/>
  <c r="F18" i="44"/>
  <c r="E18" i="44"/>
  <c r="I17" i="44"/>
  <c r="H17" i="44"/>
  <c r="G17" i="44"/>
  <c r="F17" i="44"/>
  <c r="I16" i="44"/>
  <c r="H16" i="44"/>
  <c r="G16" i="44"/>
  <c r="F16" i="44"/>
  <c r="E16" i="44"/>
  <c r="I15" i="44"/>
  <c r="H15" i="44"/>
  <c r="G15" i="44"/>
  <c r="F15" i="44"/>
  <c r="E15" i="44"/>
  <c r="I14" i="44"/>
  <c r="H14" i="44"/>
  <c r="G14" i="44"/>
  <c r="F14" i="44"/>
  <c r="E14" i="44"/>
  <c r="I13" i="44"/>
  <c r="H13" i="44"/>
  <c r="G13" i="44"/>
  <c r="F13" i="44"/>
  <c r="E13" i="44"/>
  <c r="I12" i="44"/>
  <c r="H12" i="44"/>
  <c r="G12" i="44"/>
  <c r="F12" i="44"/>
  <c r="E12" i="44"/>
  <c r="I11" i="44"/>
  <c r="H11" i="44"/>
  <c r="G11" i="44"/>
  <c r="F11" i="44"/>
  <c r="E11" i="44"/>
  <c r="B11" i="44"/>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I10" i="44"/>
  <c r="H10" i="44"/>
  <c r="G10" i="44"/>
  <c r="F10" i="44"/>
  <c r="E10" i="44"/>
  <c r="B10" i="44"/>
  <c r="I9" i="44"/>
  <c r="H9" i="44"/>
  <c r="G9" i="44"/>
  <c r="F9" i="44"/>
  <c r="E9" i="44"/>
  <c r="B4" i="44"/>
  <c r="J24" i="45" l="1"/>
  <c r="J26" i="45"/>
  <c r="I41" i="46"/>
  <c r="J23" i="45"/>
  <c r="J40" i="46"/>
  <c r="J44" i="46"/>
  <c r="J46" i="46"/>
  <c r="J45" i="46"/>
  <c r="J25" i="45"/>
  <c r="J19" i="45"/>
  <c r="I20" i="45"/>
  <c r="J21" i="44"/>
  <c r="J25" i="44"/>
  <c r="J37" i="44"/>
  <c r="J22" i="44"/>
  <c r="J26" i="44"/>
  <c r="J34" i="44"/>
  <c r="J12" i="44"/>
  <c r="J10" i="44"/>
  <c r="J18" i="44"/>
  <c r="J27" i="44"/>
  <c r="J31" i="44"/>
  <c r="J38" i="44"/>
  <c r="J24" i="44"/>
  <c r="J28" i="44"/>
  <c r="J30" i="44"/>
  <c r="H40" i="44"/>
  <c r="J14" i="44"/>
  <c r="J15" i="44"/>
  <c r="J11" i="44"/>
  <c r="J9" i="44"/>
  <c r="J32" i="44"/>
  <c r="J35" i="44"/>
  <c r="J13" i="44"/>
  <c r="J16" i="44"/>
  <c r="J17" i="44"/>
  <c r="J20" i="44"/>
  <c r="J23" i="44"/>
  <c r="J33" i="44"/>
  <c r="J36" i="44"/>
  <c r="J39" i="44"/>
  <c r="E40" i="44"/>
  <c r="J19" i="44"/>
  <c r="J29" i="44"/>
  <c r="I40" i="44"/>
  <c r="J27" i="45" l="1"/>
  <c r="J46" i="44"/>
  <c r="J48" i="46"/>
  <c r="J44" i="44"/>
  <c r="J45" i="44"/>
  <c r="I41" i="44"/>
  <c r="J40" i="44"/>
  <c r="M51" i="11"/>
  <c r="J48" i="44" l="1"/>
  <c r="L47" i="11" l="1"/>
  <c r="AR458" i="40" l="1"/>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J382" i="40" s="1"/>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B76" i="40"/>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5" i="40"/>
  <c r="K75" i="40"/>
  <c r="B75" i="40"/>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B21" i="40"/>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20" i="40"/>
  <c r="L19" i="40"/>
  <c r="B19" i="40"/>
  <c r="B20" i="40" s="1"/>
  <c r="L17" i="40"/>
  <c r="L16" i="40"/>
  <c r="L15" i="40"/>
  <c r="L14" i="40"/>
  <c r="B14" i="40"/>
  <c r="B15" i="40" s="1"/>
  <c r="B16" i="40" s="1"/>
  <c r="B17" i="40" s="1"/>
  <c r="L13" i="40"/>
  <c r="L12" i="40"/>
  <c r="B12" i="40"/>
  <c r="B13" i="40" s="1"/>
  <c r="L11" i="40"/>
  <c r="AE38" i="40" l="1"/>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J20" i="13" s="1"/>
  <c r="G20" i="13"/>
  <c r="F20" i="13"/>
  <c r="AQ78" i="40" l="1"/>
  <c r="AS77" i="40"/>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J22" i="13" s="1"/>
  <c r="F23" i="13"/>
  <c r="G23" i="13"/>
  <c r="H23" i="13"/>
  <c r="I23" i="13"/>
  <c r="F24" i="13"/>
  <c r="G24" i="13"/>
  <c r="H24" i="13"/>
  <c r="I24" i="13"/>
  <c r="F25" i="13"/>
  <c r="G25" i="13"/>
  <c r="H25" i="13"/>
  <c r="I25" i="13"/>
  <c r="F26" i="13"/>
  <c r="G26" i="13"/>
  <c r="H26" i="13"/>
  <c r="I26" i="13"/>
  <c r="F27" i="13"/>
  <c r="G27" i="13"/>
  <c r="I27" i="13"/>
  <c r="J27" i="13" s="1"/>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J41" i="13" s="1"/>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40" i="13" l="1"/>
  <c r="J39" i="13"/>
  <c r="J38" i="13"/>
  <c r="AB30" i="30" s="1"/>
  <c r="J15" i="13"/>
  <c r="AB8" i="30" s="1"/>
  <c r="J14" i="13"/>
  <c r="AB7" i="30" s="1"/>
  <c r="J19" i="13"/>
  <c r="AB12" i="30" s="1"/>
  <c r="J18" i="13"/>
  <c r="AB11" i="30" s="1"/>
  <c r="J17" i="13"/>
  <c r="AB10" i="30" s="1"/>
  <c r="J26" i="13"/>
  <c r="AB18" i="30" s="1"/>
  <c r="J25" i="13"/>
  <c r="AB17" i="30" s="1"/>
  <c r="J24" i="13"/>
  <c r="AB16" i="30" s="1"/>
  <c r="J23" i="13"/>
  <c r="AB15" i="30" s="1"/>
  <c r="J21" i="13"/>
  <c r="AB13" i="30" s="1"/>
  <c r="J37" i="13"/>
  <c r="J36" i="13"/>
  <c r="J35" i="13"/>
  <c r="AB27" i="30" s="1"/>
  <c r="J34" i="13"/>
  <c r="AB26" i="30" s="1"/>
  <c r="J33" i="13"/>
  <c r="AB25" i="30" s="1"/>
  <c r="J32" i="13"/>
  <c r="AB24" i="30" s="1"/>
  <c r="J31" i="13"/>
  <c r="AB23" i="30" s="1"/>
  <c r="J30" i="13"/>
  <c r="AB22" i="30" s="1"/>
  <c r="J29" i="13"/>
  <c r="AB21" i="30" s="1"/>
  <c r="J28" i="13"/>
  <c r="AB20" i="30" s="1"/>
  <c r="J16" i="13"/>
  <c r="J13" i="13"/>
  <c r="AB6" i="30" s="1"/>
  <c r="J12" i="13"/>
  <c r="J11" i="13"/>
  <c r="AB4" i="30" s="1"/>
  <c r="AQ88" i="40"/>
  <c r="AS87" i="40"/>
  <c r="J14" i="12"/>
  <c r="T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AB33" i="30"/>
  <c r="AB32" i="30"/>
  <c r="AB28" i="30"/>
  <c r="AB19" i="30"/>
  <c r="AB29" i="30"/>
  <c r="AB31" i="30"/>
  <c r="AB14" i="30"/>
  <c r="AB5" i="30"/>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35" i="30" s="1" a="1"/>
  <c r="J35" i="30" s="1"/>
  <c r="J27" i="12"/>
  <c r="B25" i="30" s="1"/>
  <c r="AB9" i="30"/>
  <c r="H50" i="3"/>
  <c r="H36" i="30" l="1" a="1"/>
  <c r="H36" i="30" s="1"/>
  <c r="F33" i="30" a="1"/>
  <c r="F33" i="30" s="1"/>
  <c r="J33" i="30" a="1"/>
  <c r="J33" i="30" s="1"/>
  <c r="J34" i="30" a="1"/>
  <c r="J34" i="30" s="1"/>
  <c r="F34" i="30" a="1"/>
  <c r="F34" i="30" s="1"/>
  <c r="H34" i="30" a="1"/>
  <c r="H34" i="30" s="1"/>
  <c r="H35" i="30" a="1"/>
  <c r="H35" i="30" s="1"/>
  <c r="N38" i="30" a="1"/>
  <c r="N38" i="30" s="1"/>
  <c r="N32" i="30" a="1"/>
  <c r="N32" i="30" s="1"/>
  <c r="J36" i="30" a="1"/>
  <c r="J36" i="30" s="1"/>
  <c r="L38" i="30" a="1"/>
  <c r="L38" i="30" s="1"/>
  <c r="L36" i="30" a="1"/>
  <c r="L36" i="30" s="1"/>
  <c r="L39" i="30" a="1"/>
  <c r="L39" i="30" s="1"/>
  <c r="L37" i="30" a="1"/>
  <c r="L37" i="30" s="1"/>
  <c r="P45" i="30" a="1"/>
  <c r="P45" i="30" s="1"/>
  <c r="P47" i="30" a="1"/>
  <c r="P47" i="30" s="1"/>
  <c r="P48" i="30" a="1"/>
  <c r="P48" i="30" s="1"/>
  <c r="P53" i="30" a="1"/>
  <c r="P53" i="30" s="1"/>
  <c r="P50" i="30" a="1"/>
  <c r="P50" i="30" s="1"/>
  <c r="P52" i="30" a="1"/>
  <c r="P52" i="30" s="1"/>
  <c r="P46" i="30" a="1"/>
  <c r="P46" i="30" s="1"/>
  <c r="P49" i="30" a="1"/>
  <c r="P49" i="30" s="1"/>
  <c r="P51" i="30" a="1"/>
  <c r="P51" i="30" s="1"/>
  <c r="P41" i="30" a="1"/>
  <c r="P41" i="30" s="1"/>
  <c r="P43" i="30" a="1"/>
  <c r="P43" i="30" s="1"/>
  <c r="L40" i="30" a="1"/>
  <c r="L40" i="30" s="1"/>
  <c r="L42" i="30" a="1"/>
  <c r="L42" i="30" s="1"/>
  <c r="L44" i="30" a="1"/>
  <c r="L44" i="30" s="1"/>
  <c r="P42" i="30" a="1"/>
  <c r="P42" i="30" s="1"/>
  <c r="P44" i="30" a="1"/>
  <c r="P44" i="30" s="1"/>
  <c r="L41" i="30" a="1"/>
  <c r="L41" i="30" s="1"/>
  <c r="L43" i="30" a="1"/>
  <c r="L43" i="30" s="1"/>
  <c r="J32" i="30" a="1"/>
  <c r="J32" i="30" s="1"/>
  <c r="P32" i="30" a="1"/>
  <c r="P32" i="30" s="1"/>
  <c r="P35" i="30" a="1"/>
  <c r="P35" i="30" s="1"/>
  <c r="P40" i="30" a="1"/>
  <c r="P40" i="30" s="1"/>
  <c r="P33" i="30" a="1"/>
  <c r="P33" i="30" s="1"/>
  <c r="P38" i="30" a="1"/>
  <c r="P38" i="30" s="1"/>
  <c r="P36" i="30" a="1"/>
  <c r="P36" i="30" s="1"/>
  <c r="P39" i="30" a="1"/>
  <c r="P39" i="30" s="1"/>
  <c r="P34" i="30" a="1"/>
  <c r="P34" i="30" s="1"/>
  <c r="P37" i="30" a="1"/>
  <c r="P37" i="30" s="1"/>
  <c r="AQ90" i="40"/>
  <c r="AS89" i="40"/>
  <c r="F32" i="30" a="1"/>
  <c r="F32" i="30" s="1"/>
  <c r="J31" i="30" a="1"/>
  <c r="J31" i="30" s="1"/>
  <c r="H48" i="30" a="1"/>
  <c r="H48" i="30" s="1"/>
  <c r="H50" i="30" a="1"/>
  <c r="H50" i="30" s="1"/>
  <c r="L34" i="30" a="1"/>
  <c r="L34" i="30" s="1"/>
  <c r="H49" i="30" a="1"/>
  <c r="H49" i="30" s="1"/>
  <c r="H54" i="30" a="1"/>
  <c r="H54"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2" i="30" a="1"/>
  <c r="L32" i="30" s="1"/>
  <c r="J38" i="30" a="1"/>
  <c r="J38" i="30" s="1"/>
  <c r="J40" i="30" a="1"/>
  <c r="J40" i="30" s="1"/>
  <c r="J39" i="30" a="1"/>
  <c r="J39" i="30" s="1"/>
  <c r="J41" i="30" a="1"/>
  <c r="J41" i="30" s="1"/>
  <c r="J37" i="30" a="1"/>
  <c r="J37" i="30" s="1"/>
  <c r="F36" i="30" a="1"/>
  <c r="F36" i="30" s="1"/>
  <c r="F41" i="30" a="1"/>
  <c r="F41" i="30" s="1"/>
  <c r="F38" i="30" a="1"/>
  <c r="F38" i="30" s="1"/>
  <c r="F39" i="30" a="1"/>
  <c r="F39" i="30" s="1"/>
  <c r="F40" i="30" a="1"/>
  <c r="F40" i="30" s="1"/>
  <c r="J50" i="30" a="1"/>
  <c r="J50" i="30" s="1"/>
  <c r="H42" i="30" a="1"/>
  <c r="H42" i="30" s="1"/>
  <c r="H40" i="30" a="1"/>
  <c r="H40" i="30" s="1"/>
  <c r="H45" i="30" a="1"/>
  <c r="H45" i="30" s="1"/>
  <c r="H43" i="30" a="1"/>
  <c r="H43" i="30" s="1"/>
  <c r="H46" i="30" a="1"/>
  <c r="H46" i="30" s="1"/>
  <c r="H33" i="30" a="1"/>
  <c r="H33" i="30" s="1"/>
  <c r="H41" i="30" a="1"/>
  <c r="H41" i="30" s="1"/>
  <c r="H44" i="30" a="1"/>
  <c r="H44" i="30" s="1"/>
  <c r="F31" i="30" a="1"/>
  <c r="F31" i="30" s="1"/>
  <c r="X16" i="30" a="1"/>
  <c r="X16" i="30" s="1"/>
  <c r="N31" i="30" a="1"/>
  <c r="N31" i="30" s="1"/>
  <c r="AF5" i="30" a="1"/>
  <c r="AF5" i="30" s="1"/>
  <c r="H32" i="30" a="1"/>
  <c r="H32" i="30" s="1"/>
  <c r="L45" i="30" a="1"/>
  <c r="L45" i="30" s="1"/>
  <c r="AF2" i="30"/>
  <c r="AF11" i="30" a="1"/>
  <c r="AF11" i="30" s="1"/>
  <c r="AF8" i="30" a="1"/>
  <c r="AF8"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<sst xmlns="http://schemas.openxmlformats.org/spreadsheetml/2006/main" count="2804" uniqueCount="354">
  <si>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</si>
  <si>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</si>
  <si>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</si>
  <si>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</si>
  <si>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</si>
  <si>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</si>
  <si>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</si>
  <si>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</si>
  <si>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</si>
  <si>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</si>
  <si>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</si>
  <si>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</si>
  <si>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</si>
  <si>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</si>
  <si>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</si>
  <si>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</si>
  <si>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</si>
  <si>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</si>
  <si>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</si>
  <si>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</si>
  <si>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</si>
  <si>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</si>
  <si>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</si>
  <si>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</si>
  <si>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</si>
  <si>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</si>
  <si>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</si>
  <si>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</si>
  <si>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</si>
  <si>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</si>
  <si>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</si>
  <si>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</si>
  <si>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</si>
  <si>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</si>
  <si>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</si>
  <si>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</si>
  <si>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</si>
  <si>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</si>
  <si>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</si>
  <si>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</si>
  <si>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</si>
  <si>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</si>
  <si>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</si>
  <si>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</si>
  <si>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</si>
  <si>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</si>
  <si>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</si>
  <si>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</si>
  <si>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</si>
  <si>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</si>
  <si>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</si>
  <si>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</si>
  <si>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</si>
  <si>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</si>
  <si>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</si>
  <si>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</si>
  <si>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</si>
  <si>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</si>
  <si>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</si>
  <si>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</si>
  <si>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</si>
  <si>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</si>
  <si>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</si>
  <si>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</si>
  <si>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</si>
  <si>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</si>
  <si>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</si>
  <si>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</si>
  <si>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</si>
  <si>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</si>
  <si>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</si>
  <si>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</si>
  <si>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</si>
  <si>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</si>
  <si>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</si>
  <si>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</si>
  <si>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</si>
  <si>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</si>
  <si>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</si>
  <si>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</si>
  <si>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</si>
  <si>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</si>
  <si>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</si>
  <si>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</si>
  <si>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</si>
  <si>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</si>
  <si>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</si>
  <si>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</si>
  <si>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</si>
  <si>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</si>
  <si>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</si>
  <si>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</si>
  <si>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</si>
  <si>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</si>
  <si>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</si>
  <si>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</si>
  <si>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</si>
  <si>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</si>
  <si>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</si>
  <si>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</si>
  <si>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</si>
  <si>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</si>
  <si>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</si>
  <si>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</si>
  <si>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</si>
  <si>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</si>
  <si>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</si>
  <si>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</si>
  <si>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</si>
  <si>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</si>
  <si>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</si>
  <si>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</si>
  <si>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</si>
  <si>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</si>
  <si>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</si>
  <si>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</si>
  <si>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</si>
  <si>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</si>
  <si>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</si>
  <si>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</si>
  <si>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</si>
  <si>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</si>
  <si>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</si>
  <si>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</si>
  <si>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</si>
  <si>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</si>
  <si>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</si>
  <si>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</si>
  <si>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</si>
  <si>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</si>
  <si>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</si>
  <si>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</si>
  <si>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</si>
  <si>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</si>
  <si>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</si>
  <si>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</si>
  <si>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</si>
  <si>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</si>
  <si>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</si>
  <si>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</si>
  <si>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</si>
  <si>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</si>
  <si>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</si>
  <si>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</si>
  <si>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</si>
  <si>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</si>
  <si>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</si>
  <si>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</si>
  <si>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</si>
  <si>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</si>
  <si>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</si>
  <si>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</si>
  <si>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</si>
  <si>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</si>
  <si>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</si>
  <si>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</si>
  <si>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</si>
  <si>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</si>
  <si>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</si>
  <si>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</si>
  <si>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</si>
  <si>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</si>
  <si>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</si>
  <si>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</si>
  <si>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</si>
  <si>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</si>
  <si>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</si>
  <si>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</si>
  <si>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</si>
  <si>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</si>
  <si>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</si>
  <si>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</si>
  <si>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</si>
  <si>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</si>
  <si>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</si>
  <si>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</si>
  <si>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</si>
  <si>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</si>
  <si>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</si>
  <si>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</si>
  <si>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</si>
  <si>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</si>
  <si>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</si>
  <si>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</si>
  <si>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</si>
  <si>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</si>
  <si>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</si>
  <si>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</si>
  <si>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</si>
  <si>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</si>
  <si>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</si>
  <si>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</si>
  <si>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</si>
  <si>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</si>
  <si>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</si>
  <si>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</si>
  <si>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</si>
  <si>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</si>
  <si>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</si>
  <si>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</si>
  <si>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</si>
  <si>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</si>
  <si>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</si>
  <si>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</si>
  <si>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</si>
  <si>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</si>
  <si>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</si>
  <si>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</si>
  <si>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</si>
  <si>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</si>
  <si>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</si>
  <si>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</si>
  <si>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</si>
  <si>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</si>
  <si>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</si>
  <si>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</si>
  <si>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</si>
  <si>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</si>
  <si>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</si>
  <si>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</si>
  <si>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</si>
  <si>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</si>
  <si>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</si>
  <si>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</si>
  <si>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</si>
  <si>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</si>
  <si>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</si>
  <si>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</si>
  <si>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</si>
  <si>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</si>
  <si>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</si>
  <si>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</si>
  <si>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</si>
  <si>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</si>
  <si>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</si>
  <si>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</si>
  <si>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</si>
  <si>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</si>
  <si>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</si>
  <si>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</si>
  <si>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</si>
  <si>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</si>
  <si>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</si>
  <si>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</si>
  <si>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</si>
  <si>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</si>
  <si>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</si>
  <si>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</si>
  <si>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</si>
  <si>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</si>
  <si>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</si>
  <si>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</si>
  <si>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</si>
  <si>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</si>
  <si>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</si>
  <si>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</si>
  <si>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</si>
  <si>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</si>
  <si>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</si>
  <si>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</si>
  <si>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</si>
  <si>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</si>
  <si>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</si>
  <si>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</si>
  <si>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</si>
  <si>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</si>
  <si>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</si>
  <si>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</si>
  <si>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</si>
  <si>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</si>
  <si>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</si>
  <si>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</si>
  <si>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</si>
  <si>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</si>
  <si>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</si>
  <si>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</si>
  <si>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</si>
  <si>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</si>
  <si>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</si>
  <si>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</si>
  <si>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</si>
  <si>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</si>
  <si>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</si>
  <si>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</si>
  <si>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</si>
  <si>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</si>
  <si>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</si>
  <si>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</si>
  <si>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</si>
  <si>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</si>
  <si>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</si>
  <si>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</si>
  <si>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</si>
  <si>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</si>
  <si>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</si>
  <si>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</si>
  <si>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</si>
  <si>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</si>
  <si>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</si>
  <si>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</si>
  <si>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</si>
  <si>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</si>
  <si>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</si>
  <si>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</si>
  <si>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</si>
  <si>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</si>
  <si>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</si>
  <si>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</si>
  <si>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</si>
  <si>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</si>
  <si>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</si>
  <si>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</si>
  <si>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</si>
  <si>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</si>
  <si>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</si>
  <si>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</si>
  <si>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</si>
  <si>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</si>
  <si>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</si>
  <si>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</si>
  <si>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</si>
  <si>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</si>
  <si>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</si>
  <si>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</si>
  <si>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</si>
  <si>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</si>
  <si>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</si>
  <si>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</si>
  <si>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</si>
  <si>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</si>
  <si>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</si>
  <si>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</si>
  <si>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</si>
  <si>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</si>
  <si>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</si>
  <si>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</si>
  <si>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</si>
  <si>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</si>
  <si>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</si>
  <si>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</si>
  <si>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</si>
  <si>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</si>
  <si>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</si>
  <si>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</si>
  <si>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</si>
  <si>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</si>
  <si>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</si>
  <si>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</si>
  <si>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</si>
  <si>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Badegolan</t>
  </si>
  <si>
    <t>MINGGU  :  II JUNI 2024</t>
  </si>
  <si>
    <t xml:space="preserve">MINGGU KE III JUNI ( 18 JUNI S/D 24 JUNI 2024 ) dalam Juta m3 </t>
  </si>
  <si>
    <t>*) = KONDISI  SAMPAI DENGAN TANGGAL 24 JUNI 2024</t>
  </si>
  <si>
    <t>MINGGU KE III JUNI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</si>
</sst>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4"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6" fillId="0" borderId="0" applyFont="0" applyFill="0" applyBorder="0" applyAlignment="0" applyProtection="0"/>
    <xf numFmtId="177" fontId="77" fillId="0" borderId="0" applyFont="0" applyFill="0" applyBorder="0" applyAlignment="0" applyProtection="0"/>
    <xf numFmtId="176" fontId="77" fillId="0" borderId="0" applyFont="0" applyFill="0" applyBorder="0" applyAlignment="0" applyProtection="0"/>
    <xf numFmtId="177" fontId="77"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93" fillId="0" borderId="0"/>
    <xf numFmtId="41" fontId="1" fillId="0" borderId="0" applyFont="0" applyFill="0" applyBorder="0" applyAlignment="0" applyProtection="0"/>
    <xf numFmtId="43" fontId="1" fillId="0" borderId="0" applyFont="0" applyFill="0" applyBorder="0" applyAlignment="0" applyProtection="0"/>
    <xf numFmtId="0" fontId="94" fillId="0" borderId="0"/>
    <xf numFmtId="43" fontId="95" fillId="0" borderId="0" applyFont="0" applyFill="0" applyBorder="0" applyAlignment="0" applyProtection="0"/>
    <xf numFmtId="41" fontId="4" fillId="0" borderId="0" applyFont="0" applyFill="0" applyBorder="0" applyAlignment="0" applyProtection="0"/>
  </cellStyleXfs>
  <cellXfs count="942">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43" fontId="47" fillId="29" borderId="33" xfId="28" applyFont="1" applyFill="1" applyBorder="1" applyAlignment="1">
      <alignment horizontal="center" vertical="center"/>
    </xf>
    <xf numFmtId="43"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43" fontId="47" fillId="33" borderId="11" xfId="28" applyFont="1" applyFill="1" applyBorder="1" applyAlignment="1">
      <alignment horizontal="center" vertical="center"/>
    </xf>
    <xf numFmtId="43" fontId="47" fillId="33" borderId="12" xfId="28" applyFont="1" applyFill="1" applyBorder="1" applyAlignment="1">
      <alignment horizontal="center" vertical="center"/>
    </xf>
    <xf numFmtId="43"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4"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43"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43"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4" fontId="45" fillId="33" borderId="0" xfId="0" applyNumberFormat="1" applyFont="1" applyFill="1" applyAlignment="1">
      <alignment horizontal="center" vertical="center"/>
    </xf>
    <xf numFmtId="167"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4" fontId="47" fillId="33" borderId="105" xfId="0" quotePrefix="1" applyNumberFormat="1" applyFont="1" applyFill="1" applyBorder="1" applyAlignment="1">
      <alignment horizontal="center" vertical="center"/>
    </xf>
    <xf numFmtId="164"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43" fontId="47" fillId="33" borderId="33" xfId="28" applyFont="1" applyFill="1" applyBorder="1" applyAlignment="1">
      <alignment vertical="center"/>
    </xf>
    <xf numFmtId="9" fontId="47" fillId="33" borderId="15" xfId="43" applyFont="1" applyFill="1" applyBorder="1" applyAlignment="1">
      <alignment vertical="center"/>
    </xf>
    <xf numFmtId="43"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2" fontId="52" fillId="33" borderId="21" xfId="0" applyNumberFormat="1" applyFont="1" applyFill="1" applyBorder="1" applyAlignment="1">
      <alignment horizontal="center" vertical="center"/>
    </xf>
    <xf numFmtId="172"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3" borderId="64" xfId="0" applyNumberFormat="1" applyFont="1" applyFill="1" applyBorder="1" applyAlignment="1">
      <alignment horizontal="center" vertical="center"/>
    </xf>
    <xf numFmtId="172"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3" borderId="64" xfId="0" applyNumberFormat="1" applyFont="1" applyFill="1" applyBorder="1" applyAlignment="1">
      <alignment horizontal="left" vertical="center" indent="1"/>
    </xf>
    <xf numFmtId="164" fontId="47" fillId="33" borderId="65" xfId="0" applyNumberFormat="1" applyFont="1" applyFill="1" applyBorder="1" applyAlignment="1">
      <alignment horizontal="left" vertical="center" indent="1"/>
    </xf>
    <xf numFmtId="2" fontId="45" fillId="0" borderId="0" xfId="0" applyNumberFormat="1" applyFont="1"/>
    <xf numFmtId="164" fontId="47" fillId="33" borderId="64" xfId="0" quotePrefix="1" applyNumberFormat="1" applyFont="1" applyFill="1" applyBorder="1" applyAlignment="1">
      <alignment horizontal="center" vertical="center"/>
    </xf>
    <xf numFmtId="43" fontId="55" fillId="33" borderId="0" xfId="0" applyNumberFormat="1" applyFont="1" applyFill="1" applyAlignment="1">
      <alignment horizontal="center" vertical="center" shrinkToFit="1"/>
    </xf>
    <xf numFmtId="43" fontId="47" fillId="33" borderId="0" xfId="28" applyFont="1" applyFill="1" applyBorder="1" applyAlignment="1">
      <alignment horizontal="center" vertical="center"/>
    </xf>
    <xf numFmtId="43"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68"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43" fontId="55" fillId="33" borderId="0" xfId="28" applyFont="1" applyFill="1" applyBorder="1" applyAlignment="1">
      <alignment horizontal="center" vertical="center"/>
    </xf>
    <xf numFmtId="43" fontId="55" fillId="33" borderId="0" xfId="28" quotePrefix="1" applyFont="1" applyFill="1" applyBorder="1" applyAlignment="1">
      <alignment horizontal="center" vertical="center"/>
    </xf>
    <xf numFmtId="43"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0"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43" fontId="70" fillId="33" borderId="12" xfId="28" applyFont="1" applyFill="1" applyBorder="1" applyAlignment="1">
      <alignment horizontal="center" vertical="center"/>
    </xf>
    <xf numFmtId="43" fontId="70" fillId="33" borderId="19" xfId="28" applyFont="1" applyFill="1" applyBorder="1"/>
    <xf numFmtId="172" fontId="70" fillId="33"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43" fontId="47" fillId="33" borderId="99" xfId="28" applyFont="1" applyFill="1" applyBorder="1" applyAlignment="1">
      <alignment horizontal="center" vertical="center"/>
    </xf>
    <xf numFmtId="43" fontId="47" fillId="33" borderId="19" xfId="40" applyNumberFormat="1" applyFont="1" applyFill="1" applyBorder="1" applyAlignment="1">
      <alignment vertical="center"/>
    </xf>
    <xf numFmtId="43"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0" fontId="47" fillId="26" borderId="19" xfId="40" applyNumberFormat="1" applyFont="1" applyFill="1" applyBorder="1" applyAlignment="1">
      <alignment horizontal="center" vertical="center"/>
    </xf>
    <xf numFmtId="43" fontId="47" fillId="26" borderId="19" xfId="40" applyNumberFormat="1" applyFont="1" applyFill="1" applyBorder="1" applyAlignment="1">
      <alignment vertical="center"/>
    </xf>
    <xf numFmtId="170" fontId="47" fillId="38" borderId="19" xfId="40" applyNumberFormat="1" applyFont="1" applyFill="1" applyBorder="1" applyAlignment="1">
      <alignment horizontal="center" vertical="center"/>
    </xf>
    <xf numFmtId="43" fontId="47" fillId="38" borderId="19" xfId="40" applyNumberFormat="1" applyFont="1" applyFill="1" applyBorder="1" applyAlignment="1">
      <alignmen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4"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43" fontId="71" fillId="33"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43" fontId="70" fillId="33" borderId="0" xfId="28" applyFont="1" applyFill="1" applyBorder="1" applyAlignment="1">
      <alignment horizontal="center" vertical="center"/>
    </xf>
    <xf numFmtId="43"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69" fontId="70" fillId="33" borderId="0" xfId="0" applyNumberFormat="1" applyFont="1" applyFill="1" applyAlignment="1">
      <alignment vertical="center"/>
    </xf>
    <xf numFmtId="43" fontId="71" fillId="33" borderId="0" xfId="28" applyFont="1" applyFill="1" applyBorder="1" applyAlignment="1">
      <alignment vertical="center"/>
    </xf>
    <xf numFmtId="43" fontId="71" fillId="33" borderId="0" xfId="28" applyFont="1" applyFill="1" applyBorder="1" applyAlignment="1">
      <alignment horizontal="center" vertical="center"/>
    </xf>
    <xf numFmtId="43"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69" fontId="71" fillId="33" borderId="0" xfId="0" applyNumberFormat="1" applyFont="1" applyFill="1" applyAlignment="1">
      <alignment horizontal="right" vertical="center"/>
    </xf>
    <xf numFmtId="169"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4" fontId="47" fillId="33" borderId="105" xfId="0" applyNumberFormat="1" applyFont="1" applyFill="1" applyBorder="1" applyAlignment="1">
      <alignment horizontal="left" vertical="center" indent="1"/>
    </xf>
    <xf numFmtId="164"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43"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4" fontId="47" fillId="33" borderId="65" xfId="0" applyNumberFormat="1" applyFont="1" applyFill="1" applyBorder="1" applyAlignment="1">
      <alignment horizontal="center" vertical="center"/>
    </xf>
    <xf numFmtId="164"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43"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43" fontId="48" fillId="33" borderId="11" xfId="28" applyFont="1" applyFill="1" applyBorder="1" applyAlignment="1">
      <alignment horizontal="center" vertical="center"/>
    </xf>
    <xf numFmtId="164" fontId="48" fillId="33" borderId="103" xfId="0" applyNumberFormat="1" applyFont="1" applyFill="1" applyBorder="1" applyAlignment="1">
      <alignment horizontal="left" vertical="center" indent="1"/>
    </xf>
    <xf numFmtId="164"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43" fontId="48" fillId="33" borderId="12" xfId="28" applyFont="1" applyFill="1" applyBorder="1" applyAlignment="1">
      <alignment horizontal="center" vertical="center"/>
    </xf>
    <xf numFmtId="43" fontId="48" fillId="33" borderId="12" xfId="0" applyNumberFormat="1" applyFont="1" applyFill="1" applyBorder="1" applyAlignment="1">
      <alignment horizontal="center" vertical="center"/>
    </xf>
    <xf numFmtId="43" fontId="48" fillId="33"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43" fontId="48" fillId="33" borderId="12" xfId="28" quotePrefix="1" applyFont="1" applyFill="1" applyBorder="1" applyAlignment="1">
      <alignment horizontal="center" vertical="center"/>
    </xf>
    <xf numFmtId="43" fontId="48" fillId="33" borderId="11" xfId="28" applyFont="1" applyFill="1" applyBorder="1" applyAlignment="1">
      <alignment vertical="center"/>
    </xf>
    <xf numFmtId="43" fontId="48" fillId="33" borderId="11" xfId="28" quotePrefix="1" applyFont="1" applyFill="1" applyBorder="1" applyAlignment="1">
      <alignment horizontal="center" vertical="center"/>
    </xf>
    <xf numFmtId="43" fontId="48" fillId="33" borderId="12" xfId="28" quotePrefix="1" applyFont="1" applyFill="1" applyBorder="1" applyAlignment="1">
      <alignment vertical="center"/>
    </xf>
    <xf numFmtId="43"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4" fontId="48" fillId="33" borderId="93" xfId="0" applyNumberFormat="1" applyFont="1" applyFill="1" applyBorder="1" applyAlignment="1">
      <alignment horizontal="center" vertical="center"/>
    </xf>
    <xf numFmtId="164"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43" fontId="48" fillId="33" borderId="33" xfId="28" applyFont="1" applyFill="1" applyBorder="1" applyAlignment="1">
      <alignment vertical="center"/>
    </xf>
    <xf numFmtId="164"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3" borderId="13" xfId="28" applyFont="1" applyFill="1" applyBorder="1" applyAlignment="1">
      <alignment vertical="center"/>
    </xf>
    <xf numFmtId="164" fontId="50" fillId="0" borderId="13" xfId="28" applyNumberFormat="1" applyFont="1" applyBorder="1" applyAlignment="1">
      <alignment vertical="center"/>
    </xf>
    <xf numFmtId="43"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3"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3" borderId="0" xfId="0" applyNumberFormat="1" applyFont="1" applyFill="1" applyAlignment="1">
      <alignment horizontal="center" vertical="center"/>
    </xf>
    <xf numFmtId="169" fontId="52" fillId="33" borderId="0" xfId="0" applyNumberFormat="1" applyFont="1" applyFill="1" applyAlignment="1">
      <alignment horizontal="center" vertical="center"/>
    </xf>
    <xf numFmtId="43"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43"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4" fontId="47" fillId="33" borderId="12" xfId="28" applyNumberFormat="1" applyFont="1" applyFill="1" applyBorder="1" applyAlignment="1">
      <alignment vertical="center"/>
    </xf>
    <xf numFmtId="43" fontId="50" fillId="33" borderId="12" xfId="28" applyFont="1" applyFill="1" applyBorder="1" applyAlignment="1">
      <alignment vertical="center"/>
    </xf>
    <xf numFmtId="174" fontId="55" fillId="33" borderId="0" xfId="0" applyNumberFormat="1" applyFont="1" applyFill="1" applyAlignment="1">
      <alignment horizontal="center" vertical="center"/>
    </xf>
    <xf numFmtId="43"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43" fontId="47" fillId="33" borderId="12" xfId="28" quotePrefix="1" applyFont="1" applyFill="1" applyBorder="1" applyAlignment="1">
      <alignment vertical="center"/>
    </xf>
    <xf numFmtId="43" fontId="47" fillId="33" borderId="11" xfId="28" quotePrefix="1" applyFont="1" applyFill="1" applyBorder="1" applyAlignment="1">
      <alignment vertical="center"/>
    </xf>
    <xf numFmtId="43" fontId="70" fillId="33" borderId="12" xfId="28" applyFont="1" applyFill="1" applyBorder="1" applyAlignment="1">
      <alignment vertical="center"/>
    </xf>
    <xf numFmtId="2" fontId="72" fillId="33" borderId="12" xfId="0" applyNumberFormat="1" applyFont="1" applyFill="1" applyBorder="1"/>
    <xf numFmtId="43" fontId="47" fillId="33" borderId="16" xfId="28" applyFont="1" applyFill="1" applyBorder="1" applyAlignment="1">
      <alignment vertical="center"/>
    </xf>
    <xf numFmtId="164"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78" fontId="47" fillId="33" borderId="16" xfId="0" applyNumberFormat="1" applyFont="1" applyFill="1" applyBorder="1" applyAlignment="1">
      <alignment horizontal="right" vertical="center"/>
    </xf>
    <xf numFmtId="43"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69" fontId="52" fillId="33" borderId="12" xfId="0" applyNumberFormat="1" applyFont="1" applyFill="1" applyBorder="1" applyAlignment="1">
      <alignment horizontal="center"/>
    </xf>
    <xf numFmtId="43" fontId="55" fillId="33" borderId="12" xfId="28" applyFont="1" applyFill="1" applyBorder="1" applyAlignment="1">
      <alignment vertical="center"/>
    </xf>
    <xf numFmtId="43" fontId="55" fillId="33" borderId="12" xfId="28" quotePrefix="1" applyFont="1" applyFill="1" applyBorder="1" applyAlignment="1">
      <alignment vertical="center"/>
    </xf>
    <xf numFmtId="43" fontId="55" fillId="33" borderId="11" xfId="28" quotePrefix="1" applyFont="1" applyFill="1" applyBorder="1" applyAlignment="1">
      <alignment vertical="center"/>
    </xf>
    <xf numFmtId="43" fontId="55" fillId="33" borderId="12" xfId="0" applyNumberFormat="1" applyFont="1" applyFill="1" applyBorder="1" applyAlignment="1">
      <alignment vertical="center"/>
    </xf>
    <xf numFmtId="164"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69" fontId="7" fillId="33" borderId="12" xfId="0" applyNumberFormat="1" applyFont="1" applyFill="1" applyBorder="1" applyAlignment="1">
      <alignment horizontal="center" vertical="center"/>
    </xf>
    <xf numFmtId="43" fontId="55" fillId="33" borderId="12" xfId="28" applyFont="1" applyFill="1" applyBorder="1" applyAlignment="1">
      <alignment horizontal="center" vertical="center"/>
    </xf>
    <xf numFmtId="43" fontId="55" fillId="33" borderId="12" xfId="28" quotePrefix="1" applyFont="1" applyFill="1" applyBorder="1" applyAlignment="1">
      <alignment horizontal="center" vertical="center"/>
    </xf>
    <xf numFmtId="43" fontId="55" fillId="33" borderId="11" xfId="28" quotePrefix="1" applyFont="1" applyFill="1" applyBorder="1" applyAlignment="1">
      <alignment horizontal="center" vertical="center"/>
    </xf>
    <xf numFmtId="43" fontId="55" fillId="33" borderId="12" xfId="0" applyNumberFormat="1" applyFont="1" applyFill="1" applyBorder="1" applyAlignment="1">
      <alignment horizontal="center" vertical="center"/>
    </xf>
    <xf numFmtId="174" fontId="55" fillId="33" borderId="12" xfId="0" applyNumberFormat="1" applyFont="1" applyFill="1" applyBorder="1" applyAlignment="1">
      <alignment horizontal="center" vertical="center"/>
    </xf>
    <xf numFmtId="43" fontId="71" fillId="33" borderId="12" xfId="0" applyNumberFormat="1" applyFont="1" applyFill="1" applyBorder="1" applyAlignment="1">
      <alignment vertical="center"/>
    </xf>
    <xf numFmtId="169" fontId="55" fillId="33" borderId="12" xfId="28" applyNumberFormat="1" applyFont="1" applyFill="1" applyBorder="1" applyAlignment="1">
      <alignment horizontal="center" vertical="center"/>
    </xf>
    <xf numFmtId="174" fontId="55" fillId="33" borderId="12" xfId="28" quotePrefix="1" applyNumberFormat="1" applyFont="1" applyFill="1" applyBorder="1" applyAlignment="1">
      <alignment horizontal="center" vertical="center"/>
    </xf>
    <xf numFmtId="174" fontId="55" fillId="33" borderId="12" xfId="28" applyNumberFormat="1" applyFont="1" applyFill="1" applyBorder="1" applyAlignment="1">
      <alignment horizontal="center" vertical="center"/>
    </xf>
    <xf numFmtId="43" fontId="71" fillId="33" borderId="12" xfId="0" applyNumberFormat="1" applyFont="1" applyFill="1" applyBorder="1" applyAlignment="1">
      <alignment horizontal="center" vertical="center"/>
    </xf>
    <xf numFmtId="169" fontId="52" fillId="33" borderId="11" xfId="0" applyNumberFormat="1" applyFont="1" applyFill="1" applyBorder="1" applyAlignment="1">
      <alignment horizontal="center"/>
    </xf>
    <xf numFmtId="43" fontId="47" fillId="33" borderId="0" xfId="28" applyFont="1" applyFill="1" applyBorder="1" applyAlignment="1">
      <alignment vertical="center"/>
    </xf>
    <xf numFmtId="43" fontId="47" fillId="33" borderId="0" xfId="0" applyNumberFormat="1" applyFont="1" applyFill="1" applyAlignment="1">
      <alignment vertical="center"/>
    </xf>
    <xf numFmtId="43" fontId="48" fillId="27" borderId="11" xfId="28" applyFont="1" applyFill="1" applyBorder="1" applyAlignment="1">
      <alignment horizontal="center" vertical="center"/>
    </xf>
    <xf numFmtId="43"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69" fontId="48" fillId="27" borderId="12" xfId="0" applyNumberFormat="1" applyFont="1" applyFill="1" applyBorder="1" applyAlignment="1">
      <alignment vertical="center"/>
    </xf>
    <xf numFmtId="43"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69" fontId="82" fillId="27" borderId="12" xfId="0" applyNumberFormat="1" applyFont="1" applyFill="1" applyBorder="1" applyAlignment="1">
      <alignment horizontal="right" vertical="center"/>
    </xf>
    <xf numFmtId="169" fontId="48" fillId="27" borderId="12" xfId="0" applyNumberFormat="1" applyFont="1" applyFill="1" applyBorder="1" applyAlignment="1">
      <alignment horizontal="right" vertical="center"/>
    </xf>
    <xf numFmtId="164" fontId="82" fillId="27" borderId="12" xfId="28" applyNumberFormat="1" applyFont="1" applyFill="1" applyBorder="1" applyAlignment="1">
      <alignment horizontal="center" vertical="center"/>
    </xf>
    <xf numFmtId="164" fontId="82" fillId="27" borderId="12" xfId="28" quotePrefix="1" applyNumberFormat="1" applyFont="1" applyFill="1" applyBorder="1" applyAlignment="1">
      <alignment horizontal="center" vertical="center"/>
    </xf>
    <xf numFmtId="164" fontId="82" fillId="27" borderId="11" xfId="28" quotePrefix="1" applyNumberFormat="1" applyFont="1" applyFill="1" applyBorder="1" applyAlignment="1">
      <alignment horizontal="center" vertical="center"/>
    </xf>
    <xf numFmtId="164" fontId="82" fillId="27" borderId="12" xfId="0" applyNumberFormat="1" applyFont="1" applyFill="1" applyBorder="1" applyAlignment="1">
      <alignment horizontal="center" vertical="center"/>
    </xf>
    <xf numFmtId="43" fontId="48" fillId="33" borderId="97" xfId="28" applyFont="1" applyFill="1" applyBorder="1" applyAlignment="1">
      <alignment horizontal="center" vertical="center"/>
    </xf>
    <xf numFmtId="43"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69" fontId="48" fillId="33" borderId="97" xfId="0" applyNumberFormat="1" applyFont="1" applyFill="1" applyBorder="1" applyAlignment="1">
      <alignment vertical="center"/>
    </xf>
    <xf numFmtId="43" fontId="82" fillId="33" borderId="97" xfId="28" applyFont="1" applyFill="1" applyBorder="1" applyAlignment="1">
      <alignment vertical="center"/>
    </xf>
    <xf numFmtId="169" fontId="55" fillId="33" borderId="0" xfId="28" applyNumberFormat="1" applyFont="1" applyFill="1" applyBorder="1" applyAlignment="1">
      <alignment horizontal="center" vertical="center"/>
    </xf>
    <xf numFmtId="43" fontId="82" fillId="33" borderId="97" xfId="28" applyFont="1" applyFill="1" applyBorder="1" applyAlignment="1">
      <alignment horizontal="center" vertical="center"/>
    </xf>
    <xf numFmtId="43" fontId="82" fillId="33" borderId="97" xfId="28" quotePrefix="1" applyFont="1" applyFill="1" applyBorder="1" applyAlignment="1">
      <alignment horizontal="center" vertical="center"/>
    </xf>
    <xf numFmtId="174" fontId="55" fillId="33" borderId="0" xfId="28" quotePrefix="1" applyNumberFormat="1" applyFont="1" applyFill="1" applyBorder="1" applyAlignment="1">
      <alignment horizontal="center" vertical="center"/>
    </xf>
    <xf numFmtId="43" fontId="82" fillId="33" borderId="97" xfId="0" applyNumberFormat="1" applyFont="1" applyFill="1" applyBorder="1" applyAlignment="1">
      <alignment horizontal="center" vertical="center"/>
    </xf>
    <xf numFmtId="174"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69" fontId="82" fillId="33" borderId="97" xfId="0" applyNumberFormat="1" applyFont="1" applyFill="1" applyBorder="1" applyAlignment="1">
      <alignment horizontal="right" vertical="center"/>
    </xf>
    <xf numFmtId="169"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43" fontId="89" fillId="27" borderId="0" xfId="0" applyNumberFormat="1" applyFont="1" applyFill="1" applyAlignment="1">
      <alignment horizontal="center" vertical="center"/>
    </xf>
    <xf numFmtId="164" fontId="48" fillId="33"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43"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69" fontId="47" fillId="33" borderId="0" xfId="40" applyNumberFormat="1" applyFont="1" applyFill="1" applyAlignment="1">
      <alignment horizontal="center"/>
    </xf>
    <xf numFmtId="179"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43" fontId="82" fillId="27" borderId="11" xfId="28" applyFont="1" applyFill="1" applyBorder="1" applyAlignment="1">
      <alignment vertical="center"/>
    </xf>
    <xf numFmtId="164"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43" fontId="47" fillId="33" borderId="12" xfId="28" applyFont="1" applyFill="1" applyBorder="1" applyAlignment="1">
      <alignment horizontal="right" vertical="center"/>
    </xf>
    <xf numFmtId="43"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69"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5" fontId="47" fillId="27" borderId="64" xfId="0" applyNumberFormat="1" applyFont="1" applyFill="1" applyBorder="1" applyAlignment="1">
      <alignment horizontal="center" vertical="center"/>
    </xf>
    <xf numFmtId="164"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69"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43" fontId="82" fillId="33" borderId="11" xfId="28" applyFont="1" applyFill="1" applyBorder="1" applyAlignment="1">
      <alignment vertical="center"/>
    </xf>
    <xf numFmtId="164" fontId="82" fillId="33" borderId="12" xfId="28" applyNumberFormat="1" applyFont="1" applyFill="1" applyBorder="1" applyAlignment="1">
      <alignment horizontal="center" vertical="center"/>
    </xf>
    <xf numFmtId="164" fontId="82" fillId="33" borderId="12" xfId="28" quotePrefix="1" applyNumberFormat="1" applyFont="1" applyFill="1" applyBorder="1" applyAlignment="1">
      <alignment horizontal="center" vertical="center"/>
    </xf>
    <xf numFmtId="164" fontId="82" fillId="33" borderId="11" xfId="28" quotePrefix="1" applyNumberFormat="1" applyFont="1" applyFill="1" applyBorder="1" applyAlignment="1">
      <alignment horizontal="center" vertical="center"/>
    </xf>
    <xf numFmtId="164" fontId="82" fillId="33" borderId="12" xfId="0" applyNumberFormat="1" applyFont="1" applyFill="1" applyBorder="1" applyAlignment="1">
      <alignment horizontal="center" vertical="center"/>
    </xf>
    <xf numFmtId="43"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69" fontId="82" fillId="33" borderId="12" xfId="0" applyNumberFormat="1" applyFont="1" applyFill="1" applyBorder="1" applyAlignment="1">
      <alignment horizontal="right" vertical="center"/>
    </xf>
    <xf numFmtId="169"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43" fontId="82" fillId="33" borderId="0" xfId="0" applyNumberFormat="1" applyFont="1" applyFill="1" applyAlignment="1">
      <alignment horizontal="center" vertical="center"/>
    </xf>
    <xf numFmtId="39" fontId="48" fillId="33" borderId="0" xfId="0" applyNumberFormat="1" applyFont="1" applyFill="1" applyAlignment="1">
      <alignment vertical="center" shrinkToFit="1"/>
    </xf>
    <xf numFmtId="169" fontId="82" fillId="33" borderId="0" xfId="0" applyNumberFormat="1" applyFont="1" applyFill="1" applyAlignment="1">
      <alignment horizontal="right" vertical="center"/>
    </xf>
    <xf numFmtId="169" fontId="48" fillId="33" borderId="0" xfId="0" applyNumberFormat="1" applyFont="1" applyFill="1" applyAlignment="1">
      <alignment horizontal="right"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5" fillId="0" borderId="0" xfId="40" applyFont="1" applyAlignment="1">
      <alignment horizontal="left"/>
    </xf>
    <xf numFmtId="0" fontId="5" fillId="0" borderId="97" xfId="40" applyFont="1" applyBorder="1" applyAlignment="1">
      <alignment horizontal="left"/>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2 3" xfId="89"/>
    <cellStyle name="Comma [0] 3" xfId="51"/>
    <cellStyle name="Comma [0] 4" xfId="58"/>
    <cellStyle name="Comma [0] 5" xfId="64"/>
    <cellStyle name="Comma [0] 6" xfId="68"/>
    <cellStyle name="Comma [0] 7" xfId="71"/>
    <cellStyle name="Comma [0] 8" xfId="75"/>
    <cellStyle name="Comma [0] 9" xfId="83"/>
    <cellStyle name="Comma [0] 9 2" xfId="9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 2" xfId="90"/>
    <cellStyle name="Comma 30" xfId="85"/>
    <cellStyle name="Comma 31" xfId="86"/>
    <cellStyle name="Comma 32" xfId="87"/>
    <cellStyle name="Comma 33" xfId="92"/>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rmal 2 2" xfId="88"/>
    <cellStyle name="Normal 3" xfId="91"/>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4">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3629E3"/>
      <color rgb="FFFF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63652608"/>
        <c:axId val="63654528"/>
      </c:lineChart>
      <c:catAx>
        <c:axId val="636526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63654528"/>
        <c:crosses val="autoZero"/>
        <c:auto val="0"/>
        <c:lblAlgn val="ctr"/>
        <c:lblOffset val="100"/>
        <c:tickLblSkip val="1"/>
        <c:tickMarkSkip val="1"/>
        <c:noMultiLvlLbl val="0"/>
      </c:catAx>
      <c:valAx>
        <c:axId val="6365452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6365260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1335.48</c:v>
                </c:pt>
                <c:pt idx="116">
                  <c:v>1327.13</c:v>
                </c:pt>
                <c:pt idx="119">
                  <c:v>1326.59</c:v>
                </c:pt>
                <c:pt idx="120">
                  <c:v>1333.99</c:v>
                </c:pt>
                <c:pt idx="121">
                  <c:v>1337.27</c:v>
                </c:pt>
                <c:pt idx="122">
                  <c:v>1350.11</c:v>
                </c:pt>
                <c:pt idx="123">
                  <c:v>1350.11</c:v>
                </c:pt>
                <c:pt idx="124">
                  <c:v>1357.36</c:v>
                </c:pt>
                <c:pt idx="125">
                  <c:v>1370.29</c:v>
                </c:pt>
                <c:pt idx="126">
                  <c:v>1372.79</c:v>
                </c:pt>
                <c:pt idx="127">
                  <c:v>1376.83</c:v>
                </c:pt>
                <c:pt idx="128">
                  <c:v>1384.87</c:v>
                </c:pt>
                <c:pt idx="129">
                  <c:v>1388.32</c:v>
                </c:pt>
                <c:pt idx="130">
                  <c:v>1390.03</c:v>
                </c:pt>
                <c:pt idx="131">
                  <c:v>1391.62</c:v>
                </c:pt>
                <c:pt idx="132">
                  <c:v>1386.49</c:v>
                </c:pt>
                <c:pt idx="133">
                  <c:v>1380.6</c:v>
                </c:pt>
                <c:pt idx="134">
                  <c:v>1373.84</c:v>
                </c:pt>
                <c:pt idx="135">
                  <c:v>1368.56</c:v>
                </c:pt>
                <c:pt idx="136">
                  <c:v>1360.82</c:v>
                </c:pt>
                <c:pt idx="137">
                  <c:v>1371.1</c:v>
                </c:pt>
                <c:pt idx="138">
                  <c:v>1337.47</c:v>
                </c:pt>
                <c:pt idx="139">
                  <c:v>1334.23</c:v>
                </c:pt>
                <c:pt idx="140">
                  <c:v>1324.3</c:v>
                </c:pt>
                <c:pt idx="141">
                  <c:v>1323.02</c:v>
                </c:pt>
                <c:pt idx="142">
                  <c:v>1306.55</c:v>
                </c:pt>
                <c:pt idx="143">
                  <c:v>1297.3599999999999</c:v>
                </c:pt>
                <c:pt idx="147">
                  <c:v>1291.6500000000001</c:v>
                </c:pt>
                <c:pt idx="148">
                  <c:v>1277.94</c:v>
                </c:pt>
                <c:pt idx="149">
                  <c:v>1266.8900000000001</c:v>
                </c:pt>
                <c:pt idx="150">
                  <c:v>1255.32</c:v>
                </c:pt>
                <c:pt idx="151">
                  <c:v>1241.27</c:v>
                </c:pt>
                <c:pt idx="152">
                  <c:v>1230.77</c:v>
                </c:pt>
                <c:pt idx="153">
                  <c:v>1222.45</c:v>
                </c:pt>
                <c:pt idx="154">
                  <c:v>1211.97</c:v>
                </c:pt>
                <c:pt idx="155">
                  <c:v>1319.69</c:v>
                </c:pt>
                <c:pt idx="156">
                  <c:v>1319.69</c:v>
                </c:pt>
                <c:pt idx="157">
                  <c:v>174.72</c:v>
                </c:pt>
                <c:pt idx="158">
                  <c:v>1174.3</c:v>
                </c:pt>
                <c:pt idx="159">
                  <c:v>1179.25</c:v>
                </c:pt>
                <c:pt idx="160">
                  <c:v>1177.05</c:v>
                </c:pt>
                <c:pt idx="161">
                  <c:v>1171.49</c:v>
                </c:pt>
                <c:pt idx="162">
                  <c:v>1158.29</c:v>
                </c:pt>
                <c:pt idx="163">
                  <c:v>1149.79</c:v>
                </c:pt>
                <c:pt idx="164">
                  <c:v>1135.8800000000001</c:v>
                </c:pt>
                <c:pt idx="165">
                  <c:v>1128.6600000000001</c:v>
                </c:pt>
                <c:pt idx="166">
                  <c:v>1116.18</c:v>
                </c:pt>
                <c:pt idx="167">
                  <c:v>1106.44</c:v>
                </c:pt>
                <c:pt idx="168">
                  <c:v>1099.2</c:v>
                </c:pt>
                <c:pt idx="171">
                  <c:v>1088.48</c:v>
                </c:pt>
                <c:pt idx="172">
                  <c:v>1078.69</c:v>
                </c:pt>
                <c:pt idx="173">
                  <c:v>1066.08</c:v>
                </c:pt>
                <c:pt idx="174">
                  <c:v>1054.7</c:v>
                </c:pt>
                <c:pt idx="175">
                  <c:v>1049.68</c:v>
                </c:pt>
                <c:pt idx="176">
                  <c:v>1033.54</c:v>
                </c:pt>
                <c:pt idx="177">
                  <c:v>1023.31</c:v>
                </c:pt>
                <c:pt idx="178">
                  <c:v>1008.53</c:v>
                </c:pt>
                <c:pt idx="179">
                  <c:v>1001.7</c:v>
                </c:pt>
                <c:pt idx="180">
                  <c:v>994.47</c:v>
                </c:pt>
                <c:pt idx="181">
                  <c:v>986.79</c:v>
                </c:pt>
                <c:pt idx="182">
                  <c:v>978.66</c:v>
                </c:pt>
                <c:pt idx="183">
                  <c:v>971.63</c:v>
                </c:pt>
                <c:pt idx="184">
                  <c:v>967.31</c:v>
                </c:pt>
                <c:pt idx="185">
                  <c:v>954.03</c:v>
                </c:pt>
                <c:pt idx="186">
                  <c:v>947.55</c:v>
                </c:pt>
                <c:pt idx="187">
                  <c:v>939.3</c:v>
                </c:pt>
                <c:pt idx="188">
                  <c:v>923.85</c:v>
                </c:pt>
                <c:pt idx="189">
                  <c:v>923.85</c:v>
                </c:pt>
                <c:pt idx="190">
                  <c:v>911.66</c:v>
                </c:pt>
                <c:pt idx="191">
                  <c:v>910.08</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77722112"/>
        <c:axId val="177723648"/>
      </c:lineChart>
      <c:dateAx>
        <c:axId val="17772211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7723648"/>
        <c:crosses val="autoZero"/>
        <c:auto val="0"/>
        <c:lblOffset val="100"/>
        <c:baseTimeUnit val="days"/>
        <c:majorUnit val="1"/>
        <c:majorTimeUnit val="months"/>
        <c:minorUnit val="1"/>
        <c:minorTimeUnit val="months"/>
      </c:dateAx>
      <c:valAx>
        <c:axId val="17772364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772211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77783552"/>
        <c:axId val="17778547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77783552"/>
        <c:axId val="177785472"/>
      </c:lineChart>
      <c:catAx>
        <c:axId val="177783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77785472"/>
        <c:crosses val="autoZero"/>
        <c:auto val="0"/>
        <c:lblAlgn val="ctr"/>
        <c:lblOffset val="100"/>
        <c:tickLblSkip val="1"/>
        <c:tickMarkSkip val="1"/>
        <c:noMultiLvlLbl val="0"/>
      </c:catAx>
      <c:valAx>
        <c:axId val="17778547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7778355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24.076000000000001</c:v>
                </c:pt>
                <c:pt idx="1">
                  <c:v>25.376999999999999</c:v>
                </c:pt>
                <c:pt idx="2">
                  <c:v>19.064</c:v>
                </c:pt>
                <c:pt idx="3">
                  <c:v>330.346</c:v>
                </c:pt>
                <c:pt idx="4">
                  <c:v>281.11</c:v>
                </c:pt>
                <c:pt idx="5">
                  <c:v>16.670000000000002</c:v>
                </c:pt>
                <c:pt idx="6">
                  <c:v>183.93</c:v>
                </c:pt>
                <c:pt idx="7">
                  <c:v>8.7680000000000007</c:v>
                </c:pt>
                <c:pt idx="8">
                  <c:v>21.606999999999999</c:v>
                </c:pt>
                <c:pt idx="9">
                  <c:v>16.852</c:v>
                </c:pt>
                <c:pt idx="10">
                  <c:v>15.36</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18.741</c:v>
                </c:pt>
                <c:pt idx="1">
                  <c:v>35.057000000000002</c:v>
                </c:pt>
                <c:pt idx="2">
                  <c:v>14.458</c:v>
                </c:pt>
                <c:pt idx="3">
                  <c:v>350.46300000000002</c:v>
                </c:pt>
                <c:pt idx="4">
                  <c:v>200.58199999999999</c:v>
                </c:pt>
                <c:pt idx="5">
                  <c:v>11.83</c:v>
                </c:pt>
                <c:pt idx="6">
                  <c:v>158.03</c:v>
                </c:pt>
                <c:pt idx="7">
                  <c:v>9.0860000000000003</c:v>
                </c:pt>
                <c:pt idx="8">
                  <c:v>22.344000000000001</c:v>
                </c:pt>
                <c:pt idx="9">
                  <c:v>18.827999999999999</c:v>
                </c:pt>
                <c:pt idx="10">
                  <c:v>14.8</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78235264"/>
        <c:axId val="17823744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53.4</c:v>
                </c:pt>
                <c:pt idx="1">
                  <c:v>75.150000000000006</c:v>
                </c:pt>
                <c:pt idx="2">
                  <c:v>460.89</c:v>
                </c:pt>
                <c:pt idx="3">
                  <c:v>81.77</c:v>
                </c:pt>
                <c:pt idx="4">
                  <c:v>132.63</c:v>
                </c:pt>
                <c:pt idx="5">
                  <c:v>59</c:v>
                </c:pt>
                <c:pt idx="6">
                  <c:v>159.72</c:v>
                </c:pt>
                <c:pt idx="7">
                  <c:v>229.74</c:v>
                </c:pt>
                <c:pt idx="8">
                  <c:v>183.6</c:v>
                </c:pt>
                <c:pt idx="9">
                  <c:v>88.01</c:v>
                </c:pt>
                <c:pt idx="10">
                  <c:v>148.59</c:v>
                </c:pt>
              </c:numCache>
            </c:numRef>
          </c:cat>
          <c:val>
            <c:numRef>
              <c:f>'RINCI 1'!$F$9:$F$19</c:f>
              <c:numCache>
                <c:formatCode>_(* #,##0.00_);_(* \(#,##0.00\);_(* "-"??_);_(@_)</c:formatCode>
                <c:ptCount val="11"/>
                <c:pt idx="0">
                  <c:v>54.5</c:v>
                </c:pt>
                <c:pt idx="1">
                  <c:v>73.23</c:v>
                </c:pt>
                <c:pt idx="2">
                  <c:v>461.3</c:v>
                </c:pt>
                <c:pt idx="3">
                  <c:v>81.12</c:v>
                </c:pt>
                <c:pt idx="4">
                  <c:v>134.4</c:v>
                </c:pt>
                <c:pt idx="5">
                  <c:v>62.35</c:v>
                </c:pt>
                <c:pt idx="6">
                  <c:v>163.02000000000001</c:v>
                </c:pt>
                <c:pt idx="7">
                  <c:v>229.68</c:v>
                </c:pt>
                <c:pt idx="8">
                  <c:v>183.22</c:v>
                </c:pt>
                <c:pt idx="9">
                  <c:v>86.34</c:v>
                </c:pt>
                <c:pt idx="10">
                  <c:v>149.25</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53.4</c:v>
                </c:pt>
                <c:pt idx="1">
                  <c:v>75.150000000000006</c:v>
                </c:pt>
                <c:pt idx="2">
                  <c:v>460.89</c:v>
                </c:pt>
                <c:pt idx="3">
                  <c:v>81.77</c:v>
                </c:pt>
                <c:pt idx="4">
                  <c:v>132.63</c:v>
                </c:pt>
                <c:pt idx="5">
                  <c:v>59</c:v>
                </c:pt>
                <c:pt idx="6">
                  <c:v>159.72</c:v>
                </c:pt>
                <c:pt idx="7">
                  <c:v>229.74</c:v>
                </c:pt>
                <c:pt idx="8">
                  <c:v>183.6</c:v>
                </c:pt>
                <c:pt idx="9">
                  <c:v>88.01</c:v>
                </c:pt>
                <c:pt idx="10">
                  <c:v>148.59</c:v>
                </c:pt>
              </c:numCache>
            </c:numRef>
          </c:cat>
          <c:val>
            <c:numRef>
              <c:f>'RINCI 1'!$G$9:$G$19</c:f>
              <c:numCache>
                <c:formatCode>_(* #,##0.00_);_(* \(#,##0.00\);_(* "-"??_);_(@_)</c:formatCode>
                <c:ptCount val="11"/>
                <c:pt idx="0">
                  <c:v>53.4</c:v>
                </c:pt>
                <c:pt idx="1">
                  <c:v>75.150000000000006</c:v>
                </c:pt>
                <c:pt idx="2">
                  <c:v>460.89</c:v>
                </c:pt>
                <c:pt idx="3">
                  <c:v>81.77</c:v>
                </c:pt>
                <c:pt idx="4">
                  <c:v>132.63</c:v>
                </c:pt>
                <c:pt idx="5">
                  <c:v>59</c:v>
                </c:pt>
                <c:pt idx="6">
                  <c:v>159.72</c:v>
                </c:pt>
                <c:pt idx="7">
                  <c:v>229.74</c:v>
                </c:pt>
                <c:pt idx="8">
                  <c:v>183.6</c:v>
                </c:pt>
                <c:pt idx="9">
                  <c:v>88.01</c:v>
                </c:pt>
                <c:pt idx="10">
                  <c:v>148.59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78239360"/>
        <c:axId val="178262016"/>
      </c:lineChart>
      <c:catAx>
        <c:axId val="17823526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78237440"/>
        <c:crossesAt val="10"/>
        <c:auto val="0"/>
        <c:lblAlgn val="ctr"/>
        <c:lblOffset val="100"/>
        <c:tickLblSkip val="1"/>
        <c:tickMarkSkip val="1"/>
        <c:noMultiLvlLbl val="0"/>
      </c:catAx>
      <c:valAx>
        <c:axId val="17823744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78235264"/>
        <c:crosses val="autoZero"/>
        <c:crossBetween val="between"/>
        <c:majorUnit val="50"/>
      </c:valAx>
      <c:catAx>
        <c:axId val="17823936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78262016"/>
        <c:crosses val="autoZero"/>
        <c:auto val="0"/>
        <c:lblAlgn val="ctr"/>
        <c:lblOffset val="100"/>
        <c:noMultiLvlLbl val="0"/>
      </c:catAx>
      <c:valAx>
        <c:axId val="17826201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823936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(2)'!$H$9:$H$18</c:f>
              <c:numCache>
                <c:formatCode>_(* #.##0000_);_(* \(#.##0000\);_(* "-"??_);_(@_)</c:formatCode>
                <c:ptCount val="10"/>
                <c:pt idx="0">
                  <c:v>24.076000000000001</c:v>
                </c:pt>
                <c:pt idx="1">
                  <c:v>25.376999999999999</c:v>
                </c:pt>
                <c:pt idx="2">
                  <c:v>19.064</c:v>
                </c:pt>
                <c:pt idx="3">
                  <c:v>330.346</c:v>
                </c:pt>
                <c:pt idx="4">
                  <c:v>281.11</c:v>
                </c:pt>
                <c:pt idx="5">
                  <c:v>16.670000000000002</c:v>
                </c:pt>
                <c:pt idx="6">
                  <c:v>183.93</c:v>
                </c:pt>
                <c:pt idx="7">
                  <c:v>8.7680000000000007</c:v>
                </c:pt>
                <c:pt idx="8">
                  <c:v>21.606999999999999</c:v>
                </c:pt>
                <c:pt idx="9">
                  <c:v>16.852</c:v>
                </c:pt>
              </c:numCache>
            </c:numRef>
          </c:val>
          <c:extLst xmlns:c16r2="http://schemas.microsoft.com/office/drawing/2015/06/chart">
            <c:ext xmlns:c16="http://schemas.microsoft.com/office/drawing/2014/chart" uri="{C3380CC4-5D6E-409C-BE32-E72D297353CC}">
              <c16:uniqueId val="{00000000-B743-45C0-819E-F8DC204121A1}"/>
            </c:ext>
          </c:extLst>
        </c:ser>
        <c:ser>
          <c:idx val="0"/>
          <c:order val="1"/>
          <c:spPr>
            <a:pattFill prst="dkUpDiag">
              <a:fgClr>
                <a:srgbClr val="FF9900"/>
              </a:fgClr>
              <a:bgClr>
                <a:srgbClr val="FF6600"/>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(2)'!$I$9:$I$18</c:f>
              <c:numCache>
                <c:formatCode>_(* #.##0000_);_(* \(#.##0000\);_(* "-"??_);_(@_)</c:formatCode>
                <c:ptCount val="10"/>
                <c:pt idx="0">
                  <c:v>18.741</c:v>
                </c:pt>
                <c:pt idx="1">
                  <c:v>35.057000000000002</c:v>
                </c:pt>
                <c:pt idx="2">
                  <c:v>14.458</c:v>
                </c:pt>
                <c:pt idx="3">
                  <c:v>350.46300000000002</c:v>
                </c:pt>
                <c:pt idx="4">
                  <c:v>200.58199999999999</c:v>
                </c:pt>
                <c:pt idx="5">
                  <c:v>11.83</c:v>
                </c:pt>
                <c:pt idx="6">
                  <c:v>158.03</c:v>
                </c:pt>
                <c:pt idx="7">
                  <c:v>9.0860000000000003</c:v>
                </c:pt>
                <c:pt idx="8">
                  <c:v>22.344000000000001</c:v>
                </c:pt>
                <c:pt idx="9">
                  <c:v>18.827999999999999</c:v>
                </c:pt>
              </c:numCache>
            </c:numRef>
          </c:val>
          <c:extLst xmlns:c16r2="http://schemas.microsoft.com/office/drawing/2015/06/chart">
            <c:ext xmlns:c16="http://schemas.microsoft.com/office/drawing/2014/chart" uri="{C3380CC4-5D6E-409C-BE32-E72D297353CC}">
              <c16:uniqueId val="{00000001-B743-45C0-819E-F8DC204121A1}"/>
            </c:ext>
          </c:extLst>
        </c:ser>
        <c:dLbls>
          <c:showLegendKey val="0"/>
          <c:showVal val="0"/>
          <c:showCatName val="0"/>
          <c:showSerName val="0"/>
          <c:showPercent val="0"/>
          <c:showBubbleSize val="0"/>
        </c:dLbls>
        <c:gapWidth val="150"/>
        <c:axId val="179067520"/>
        <c:axId val="17907788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 (2)'!$G$9:$G$18</c:f>
              <c:numCache>
                <c:formatCode>_(* #,##0.00_);_(* \(#,##0.00\);_(* "-"??_);_(@_)</c:formatCode>
                <c:ptCount val="10"/>
                <c:pt idx="0">
                  <c:v>53.4</c:v>
                </c:pt>
                <c:pt idx="1">
                  <c:v>75.150000000000006</c:v>
                </c:pt>
                <c:pt idx="2">
                  <c:v>460.89</c:v>
                </c:pt>
                <c:pt idx="3">
                  <c:v>81.77</c:v>
                </c:pt>
                <c:pt idx="4">
                  <c:v>132.63</c:v>
                </c:pt>
                <c:pt idx="5">
                  <c:v>59</c:v>
                </c:pt>
                <c:pt idx="6">
                  <c:v>159.72</c:v>
                </c:pt>
                <c:pt idx="7">
                  <c:v>229.74</c:v>
                </c:pt>
                <c:pt idx="8">
                  <c:v>183.6</c:v>
                </c:pt>
                <c:pt idx="9">
                  <c:v>88.01</c:v>
                </c:pt>
              </c:numCache>
            </c:numRef>
          </c:cat>
          <c:val>
            <c:numRef>
              <c:f>'RINCI 1 (2)'!$F$9:$F$18</c:f>
              <c:numCache>
                <c:formatCode>_(* #,##0.00_);_(* \(#,##0.00\);_(* "-"??_);_(@_)</c:formatCode>
                <c:ptCount val="10"/>
                <c:pt idx="0">
                  <c:v>54.5</c:v>
                </c:pt>
                <c:pt idx="1">
                  <c:v>73.23</c:v>
                </c:pt>
                <c:pt idx="2">
                  <c:v>461.3</c:v>
                </c:pt>
                <c:pt idx="3">
                  <c:v>81.12</c:v>
                </c:pt>
                <c:pt idx="4">
                  <c:v>134.4</c:v>
                </c:pt>
                <c:pt idx="5">
                  <c:v>62.35</c:v>
                </c:pt>
                <c:pt idx="6">
                  <c:v>163.02000000000001</c:v>
                </c:pt>
                <c:pt idx="7">
                  <c:v>229.68</c:v>
                </c:pt>
                <c:pt idx="8">
                  <c:v>183.22</c:v>
                </c:pt>
                <c:pt idx="9">
                  <c:v>86.34</c:v>
                </c:pt>
              </c:numCache>
            </c:numRef>
          </c:val>
          <c:smooth val="0"/>
          <c:extLst xmlns:c16r2="http://schemas.microsoft.com/office/drawing/2015/06/chart">
            <c:ext xmlns:c16="http://schemas.microsoft.com/office/drawing/2014/chart" uri="{C3380CC4-5D6E-409C-BE32-E72D297353CC}">
              <c16:uniqueId val="{00000002-B743-45C0-819E-F8DC204121A1}"/>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 (2)'!$G$9:$G$18</c:f>
              <c:numCache>
                <c:formatCode>_(* #,##0.00_);_(* \(#,##0.00\);_(* "-"??_);_(@_)</c:formatCode>
                <c:ptCount val="10"/>
                <c:pt idx="0">
                  <c:v>53.4</c:v>
                </c:pt>
                <c:pt idx="1">
                  <c:v>75.150000000000006</c:v>
                </c:pt>
                <c:pt idx="2">
                  <c:v>460.89</c:v>
                </c:pt>
                <c:pt idx="3">
                  <c:v>81.77</c:v>
                </c:pt>
                <c:pt idx="4">
                  <c:v>132.63</c:v>
                </c:pt>
                <c:pt idx="5">
                  <c:v>59</c:v>
                </c:pt>
                <c:pt idx="6">
                  <c:v>159.72</c:v>
                </c:pt>
                <c:pt idx="7">
                  <c:v>229.74</c:v>
                </c:pt>
                <c:pt idx="8">
                  <c:v>183.6</c:v>
                </c:pt>
                <c:pt idx="9">
                  <c:v>88.01</c:v>
                </c:pt>
              </c:numCache>
            </c:numRef>
          </c:cat>
          <c:val>
            <c:numRef>
              <c:f>'RINCI 1 (2)'!$G$9:$G$18</c:f>
              <c:numCache>
                <c:formatCode>_(* #,##0.00_);_(* \(#,##0.00\);_(* "-"??_);_(@_)</c:formatCode>
                <c:ptCount val="10"/>
                <c:pt idx="0">
                  <c:v>53.4</c:v>
                </c:pt>
                <c:pt idx="1">
                  <c:v>75.150000000000006</c:v>
                </c:pt>
                <c:pt idx="2">
                  <c:v>460.89</c:v>
                </c:pt>
                <c:pt idx="3">
                  <c:v>81.77</c:v>
                </c:pt>
                <c:pt idx="4">
                  <c:v>132.63</c:v>
                </c:pt>
                <c:pt idx="5">
                  <c:v>59</c:v>
                </c:pt>
                <c:pt idx="6">
                  <c:v>159.72</c:v>
                </c:pt>
                <c:pt idx="7">
                  <c:v>229.74</c:v>
                </c:pt>
                <c:pt idx="8">
                  <c:v>183.6</c:v>
                </c:pt>
                <c:pt idx="9">
                  <c:v>88.01</c:v>
                </c:pt>
              </c:numCache>
            </c:numRef>
          </c:val>
          <c:smooth val="0"/>
          <c:extLst xmlns:c16r2="http://schemas.microsoft.com/office/drawing/2015/06/chart">
            <c:ext xmlns:c16="http://schemas.microsoft.com/office/drawing/2014/chart" uri="{C3380CC4-5D6E-409C-BE32-E72D297353CC}">
              <c16:uniqueId val="{00000003-B743-45C0-819E-F8DC204121A1}"/>
            </c:ext>
          </c:extLst>
        </c:ser>
        <c:dLbls>
          <c:showLegendKey val="0"/>
          <c:showVal val="0"/>
          <c:showCatName val="0"/>
          <c:showSerName val="0"/>
          <c:showPercent val="0"/>
          <c:showBubbleSize val="0"/>
        </c:dLbls>
        <c:marker val="1"/>
        <c:smooth val="0"/>
        <c:axId val="179079808"/>
        <c:axId val="179098368"/>
      </c:lineChart>
      <c:catAx>
        <c:axId val="17906752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79077888"/>
        <c:crossesAt val="10"/>
        <c:auto val="0"/>
        <c:lblAlgn val="ctr"/>
        <c:lblOffset val="100"/>
        <c:tickLblSkip val="1"/>
        <c:tickMarkSkip val="1"/>
        <c:noMultiLvlLbl val="0"/>
      </c:catAx>
      <c:valAx>
        <c:axId val="17907788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79067520"/>
        <c:crosses val="autoZero"/>
        <c:crossBetween val="between"/>
        <c:majorUnit val="50"/>
      </c:valAx>
      <c:catAx>
        <c:axId val="17907980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79098368"/>
        <c:crosses val="autoZero"/>
        <c:auto val="0"/>
        <c:lblAlgn val="ctr"/>
        <c:lblOffset val="100"/>
        <c:noMultiLvlLbl val="0"/>
      </c:catAx>
      <c:valAx>
        <c:axId val="17909836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907980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1.321</c:v>
                </c:pt>
                <c:pt idx="1">
                  <c:v>0.48799999999999999</c:v>
                </c:pt>
                <c:pt idx="2">
                  <c:v>0.499</c:v>
                </c:pt>
                <c:pt idx="3">
                  <c:v>0.16</c:v>
                </c:pt>
                <c:pt idx="4">
                  <c:v>1.9019999999999999</c:v>
                </c:pt>
                <c:pt idx="5">
                  <c:v>7.4999999999999997E-2</c:v>
                </c:pt>
                <c:pt idx="6">
                  <c:v>6.3E-2</c:v>
                </c:pt>
                <c:pt idx="7">
                  <c:v>6.4870000000000001</c:v>
                </c:pt>
                <c:pt idx="8">
                  <c:v>1.746</c:v>
                </c:pt>
                <c:pt idx="9">
                  <c:v>2.1789999999999998</c:v>
                </c:pt>
                <c:pt idx="10">
                  <c:v>1.4930000000000001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78947584"/>
        <c:axId val="17894912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1.68</c:v>
                </c:pt>
                <c:pt idx="1">
                  <c:v>0.34799999999999998</c:v>
                </c:pt>
                <c:pt idx="2">
                  <c:v>0.60499999999999998</c:v>
                </c:pt>
                <c:pt idx="3">
                  <c:v>0.187</c:v>
                </c:pt>
                <c:pt idx="4">
                  <c:v>2.0550000000000002</c:v>
                </c:pt>
                <c:pt idx="5">
                  <c:v>2.8000000000000001E-2</c:v>
                </c:pt>
                <c:pt idx="6">
                  <c:v>8.4000000000000005E-2</c:v>
                </c:pt>
                <c:pt idx="7">
                  <c:v>6.4329999999999998</c:v>
                </c:pt>
                <c:pt idx="8">
                  <c:v>2.2440000000000002</c:v>
                </c:pt>
                <c:pt idx="9">
                  <c:v>2.0470000000000002</c:v>
                </c:pt>
                <c:pt idx="10">
                  <c:v>1.744</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78959488"/>
        <c:axId val="178961024"/>
      </c:lineChart>
      <c:catAx>
        <c:axId val="17894758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8949120"/>
        <c:crosses val="autoZero"/>
        <c:auto val="1"/>
        <c:lblAlgn val="ctr"/>
        <c:lblOffset val="100"/>
        <c:tickMarkSkip val="1"/>
        <c:noMultiLvlLbl val="0"/>
      </c:catAx>
      <c:valAx>
        <c:axId val="17894912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8947584"/>
        <c:crosses val="autoZero"/>
        <c:crossBetween val="between"/>
        <c:majorUnit val="0.5"/>
      </c:valAx>
      <c:catAx>
        <c:axId val="178959488"/>
        <c:scaling>
          <c:orientation val="minMax"/>
        </c:scaling>
        <c:delete val="1"/>
        <c:axPos val="b"/>
        <c:numFmt formatCode="General" sourceLinked="1"/>
        <c:majorTickMark val="out"/>
        <c:minorTickMark val="none"/>
        <c:tickLblPos val="nextTo"/>
        <c:crossAx val="178961024"/>
        <c:crosses val="autoZero"/>
        <c:auto val="1"/>
        <c:lblAlgn val="ctr"/>
        <c:lblOffset val="100"/>
        <c:noMultiLvlLbl val="0"/>
      </c:catAx>
      <c:valAx>
        <c:axId val="17896102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7895948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201.11</c:v>
                </c:pt>
                <c:pt idx="1">
                  <c:v>323.87</c:v>
                </c:pt>
                <c:pt idx="2">
                  <c:v>127.6</c:v>
                </c:pt>
                <c:pt idx="3">
                  <c:v>279.39</c:v>
                </c:pt>
                <c:pt idx="4">
                  <c:v>97.58</c:v>
                </c:pt>
                <c:pt idx="5">
                  <c:v>189.49</c:v>
                </c:pt>
                <c:pt idx="6">
                  <c:v>169.79</c:v>
                </c:pt>
                <c:pt idx="7">
                  <c:v>139.34</c:v>
                </c:pt>
                <c:pt idx="8">
                  <c:v>237.78</c:v>
                </c:pt>
                <c:pt idx="9">
                  <c:v>118.34</c:v>
                </c:pt>
                <c:pt idx="10">
                  <c:v>109.74</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201.96</c:v>
                </c:pt>
                <c:pt idx="1">
                  <c:v>322.2</c:v>
                </c:pt>
                <c:pt idx="2">
                  <c:v>128.41999999999999</c:v>
                </c:pt>
                <c:pt idx="3">
                  <c:v>279.79000000000002</c:v>
                </c:pt>
                <c:pt idx="4">
                  <c:v>97.83</c:v>
                </c:pt>
                <c:pt idx="5">
                  <c:v>188.1</c:v>
                </c:pt>
                <c:pt idx="6">
                  <c:v>170.64</c:v>
                </c:pt>
                <c:pt idx="7">
                  <c:v>139.32</c:v>
                </c:pt>
                <c:pt idx="8">
                  <c:v>238.7</c:v>
                </c:pt>
                <c:pt idx="9">
                  <c:v>118.26</c:v>
                </c:pt>
                <c:pt idx="10">
                  <c:v>110.03</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79004544"/>
        <c:axId val="179006080"/>
      </c:barChart>
      <c:catAx>
        <c:axId val="17900454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9006080"/>
        <c:crossesAt val="0"/>
        <c:auto val="0"/>
        <c:lblAlgn val="ctr"/>
        <c:lblOffset val="100"/>
        <c:tickLblSkip val="1"/>
        <c:tickMarkSkip val="1"/>
        <c:noMultiLvlLbl val="0"/>
      </c:catAx>
      <c:valAx>
        <c:axId val="17900608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900454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(2)'!$H$9:$H$39</c:f>
              <c:numCache>
                <c:formatCode>_(* #.##0000_);_(* \(#.##0000\);_(* "-"??_);_(@_)</c:formatCode>
                <c:ptCount val="31"/>
                <c:pt idx="0">
                  <c:v>7.77</c:v>
                </c:pt>
                <c:pt idx="1">
                  <c:v>8.5139999999999993</c:v>
                </c:pt>
                <c:pt idx="2">
                  <c:v>3.4119999999999999</c:v>
                </c:pt>
                <c:pt idx="3">
                  <c:v>0.29799999999999999</c:v>
                </c:pt>
                <c:pt idx="4">
                  <c:v>0.59299999999999997</c:v>
                </c:pt>
                <c:pt idx="5">
                  <c:v>4.2270000000000003</c:v>
                </c:pt>
                <c:pt idx="6">
                  <c:v>2.0150000000000001</c:v>
                </c:pt>
                <c:pt idx="7">
                  <c:v>0.38100000000000001</c:v>
                </c:pt>
                <c:pt idx="8">
                  <c:v>8.0000000000000002E-3</c:v>
                </c:pt>
                <c:pt idx="9">
                  <c:v>5.1999999999999998E-2</c:v>
                </c:pt>
                <c:pt idx="10">
                  <c:v>0.13700000000000001</c:v>
                </c:pt>
                <c:pt idx="11">
                  <c:v>0.48799999999999999</c:v>
                </c:pt>
                <c:pt idx="12">
                  <c:v>0.54100000000000004</c:v>
                </c:pt>
                <c:pt idx="13">
                  <c:v>8.7999999999999995E-2</c:v>
                </c:pt>
                <c:pt idx="14">
                  <c:v>0.153</c:v>
                </c:pt>
                <c:pt idx="15">
                  <c:v>0.251</c:v>
                </c:pt>
                <c:pt idx="16">
                  <c:v>0.02</c:v>
                </c:pt>
                <c:pt idx="17">
                  <c:v>0.128</c:v>
                </c:pt>
                <c:pt idx="18">
                  <c:v>0.11700000000000001</c:v>
                </c:pt>
                <c:pt idx="19">
                  <c:v>1.827</c:v>
                </c:pt>
                <c:pt idx="20">
                  <c:v>1.321</c:v>
                </c:pt>
                <c:pt idx="21">
                  <c:v>0.48799999999999999</c:v>
                </c:pt>
                <c:pt idx="22">
                  <c:v>0.499</c:v>
                </c:pt>
                <c:pt idx="23">
                  <c:v>0.16</c:v>
                </c:pt>
                <c:pt idx="24">
                  <c:v>1.9019999999999999</c:v>
                </c:pt>
                <c:pt idx="25">
                  <c:v>7.4999999999999997E-2</c:v>
                </c:pt>
                <c:pt idx="26">
                  <c:v>6.3E-2</c:v>
                </c:pt>
                <c:pt idx="27">
                  <c:v>6.4870000000000001</c:v>
                </c:pt>
                <c:pt idx="28">
                  <c:v>1.746</c:v>
                </c:pt>
                <c:pt idx="29">
                  <c:v>2.1789999999999998</c:v>
                </c:pt>
                <c:pt idx="30">
                  <c:v>1.4930000000000001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79429376"/>
        <c:axId val="17943091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(2)'!$I$9:$I$39</c:f>
              <c:numCache>
                <c:formatCode>_(* #.##0000_);_(* \(#.##0000\);_(* "-"??_);_(@_)</c:formatCode>
                <c:ptCount val="31"/>
                <c:pt idx="0">
                  <c:v>7.77</c:v>
                </c:pt>
                <c:pt idx="1">
                  <c:v>8.6530000000000005</c:v>
                </c:pt>
                <c:pt idx="2">
                  <c:v>3.5019999999999998</c:v>
                </c:pt>
                <c:pt idx="3">
                  <c:v>0.32400000000000001</c:v>
                </c:pt>
                <c:pt idx="4">
                  <c:v>0.61</c:v>
                </c:pt>
                <c:pt idx="5">
                  <c:v>4.2830000000000004</c:v>
                </c:pt>
                <c:pt idx="6">
                  <c:v>2.1440000000000001</c:v>
                </c:pt>
                <c:pt idx="7">
                  <c:v>0.42699999999999999</c:v>
                </c:pt>
                <c:pt idx="8">
                  <c:v>1.0999999999999999E-2</c:v>
                </c:pt>
                <c:pt idx="9">
                  <c:v>6.5000000000000002E-2</c:v>
                </c:pt>
                <c:pt idx="10">
                  <c:v>0.16</c:v>
                </c:pt>
                <c:pt idx="11">
                  <c:v>0.34799999999999998</c:v>
                </c:pt>
                <c:pt idx="12">
                  <c:v>1.0760000000000001</c:v>
                </c:pt>
                <c:pt idx="13">
                  <c:v>3.2000000000000001E-2</c:v>
                </c:pt>
                <c:pt idx="14">
                  <c:v>0.107</c:v>
                </c:pt>
                <c:pt idx="15">
                  <c:v>0.16200000000000001</c:v>
                </c:pt>
                <c:pt idx="16">
                  <c:v>0.20399999999999999</c:v>
                </c:pt>
                <c:pt idx="17">
                  <c:v>0.14199999999999999</c:v>
                </c:pt>
                <c:pt idx="18">
                  <c:v>0.46200000000000002</c:v>
                </c:pt>
                <c:pt idx="19">
                  <c:v>0.66800000000000004</c:v>
                </c:pt>
                <c:pt idx="20">
                  <c:v>1.68</c:v>
                </c:pt>
                <c:pt idx="21">
                  <c:v>0.34799999999999998</c:v>
                </c:pt>
                <c:pt idx="22">
                  <c:v>0.60499999999999998</c:v>
                </c:pt>
                <c:pt idx="23">
                  <c:v>0.187</c:v>
                </c:pt>
                <c:pt idx="24">
                  <c:v>2.0550000000000002</c:v>
                </c:pt>
                <c:pt idx="25">
                  <c:v>2.8000000000000001E-2</c:v>
                </c:pt>
                <c:pt idx="26">
                  <c:v>8.4000000000000005E-2</c:v>
                </c:pt>
                <c:pt idx="27">
                  <c:v>6.4329999999999998</c:v>
                </c:pt>
                <c:pt idx="28">
                  <c:v>2.2440000000000002</c:v>
                </c:pt>
                <c:pt idx="29">
                  <c:v>2.0470000000000002</c:v>
                </c:pt>
                <c:pt idx="30">
                  <c:v>1.744</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79432832"/>
        <c:axId val="179442816"/>
      </c:lineChart>
      <c:catAx>
        <c:axId val="17942937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9430912"/>
        <c:crosses val="autoZero"/>
        <c:auto val="1"/>
        <c:lblAlgn val="ctr"/>
        <c:lblOffset val="100"/>
        <c:tickMarkSkip val="1"/>
        <c:noMultiLvlLbl val="0"/>
      </c:catAx>
      <c:valAx>
        <c:axId val="17943091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9429376"/>
        <c:crosses val="autoZero"/>
        <c:crossBetween val="between"/>
        <c:majorUnit val="0.5"/>
      </c:valAx>
      <c:catAx>
        <c:axId val="179432832"/>
        <c:scaling>
          <c:orientation val="minMax"/>
        </c:scaling>
        <c:delete val="1"/>
        <c:axPos val="b"/>
        <c:numFmt formatCode="General" sourceLinked="1"/>
        <c:majorTickMark val="out"/>
        <c:minorTickMark val="none"/>
        <c:tickLblPos val="nextTo"/>
        <c:crossAx val="179442816"/>
        <c:crosses val="autoZero"/>
        <c:auto val="1"/>
        <c:lblAlgn val="ctr"/>
        <c:lblOffset val="100"/>
        <c:noMultiLvlLbl val="0"/>
      </c:catAx>
      <c:valAx>
        <c:axId val="17944281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7943283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(2)'!$F$9:$F$39</c:f>
              <c:numCache>
                <c:formatCode>_(* #,##0.00_);_(* \(#,##0.00\);_(* "-"??_);_(@_)</c:formatCode>
                <c:ptCount val="31"/>
                <c:pt idx="0">
                  <c:v>339.5</c:v>
                </c:pt>
                <c:pt idx="1">
                  <c:v>206.17</c:v>
                </c:pt>
                <c:pt idx="2">
                  <c:v>316.10000000000002</c:v>
                </c:pt>
                <c:pt idx="3">
                  <c:v>115.82</c:v>
                </c:pt>
                <c:pt idx="4">
                  <c:v>117.38</c:v>
                </c:pt>
                <c:pt idx="5">
                  <c:v>44.17</c:v>
                </c:pt>
                <c:pt idx="6">
                  <c:v>43.93</c:v>
                </c:pt>
                <c:pt idx="7">
                  <c:v>74.2</c:v>
                </c:pt>
                <c:pt idx="8">
                  <c:v>80.11</c:v>
                </c:pt>
                <c:pt idx="9">
                  <c:v>61.7</c:v>
                </c:pt>
                <c:pt idx="10">
                  <c:v>45.06</c:v>
                </c:pt>
                <c:pt idx="11">
                  <c:v>323.87</c:v>
                </c:pt>
                <c:pt idx="12">
                  <c:v>108.45</c:v>
                </c:pt>
                <c:pt idx="13">
                  <c:v>201.26</c:v>
                </c:pt>
                <c:pt idx="14">
                  <c:v>220.03</c:v>
                </c:pt>
                <c:pt idx="15">
                  <c:v>192.8</c:v>
                </c:pt>
                <c:pt idx="16">
                  <c:v>162.19</c:v>
                </c:pt>
                <c:pt idx="17">
                  <c:v>221.39</c:v>
                </c:pt>
                <c:pt idx="18">
                  <c:v>241.06</c:v>
                </c:pt>
                <c:pt idx="19">
                  <c:v>147.5</c:v>
                </c:pt>
                <c:pt idx="20">
                  <c:v>201.11</c:v>
                </c:pt>
                <c:pt idx="21">
                  <c:v>323.87</c:v>
                </c:pt>
                <c:pt idx="22">
                  <c:v>127.6</c:v>
                </c:pt>
                <c:pt idx="23">
                  <c:v>279.39</c:v>
                </c:pt>
                <c:pt idx="24">
                  <c:v>97.58</c:v>
                </c:pt>
                <c:pt idx="25">
                  <c:v>189.49</c:v>
                </c:pt>
                <c:pt idx="26">
                  <c:v>169.79</c:v>
                </c:pt>
                <c:pt idx="27">
                  <c:v>139.34</c:v>
                </c:pt>
                <c:pt idx="28">
                  <c:v>237.78</c:v>
                </c:pt>
                <c:pt idx="29">
                  <c:v>118.34</c:v>
                </c:pt>
                <c:pt idx="30">
                  <c:v>109.74</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(2)'!$G$9:$G$39</c:f>
              <c:numCache>
                <c:formatCode>_(* #,##0.00_);_(* \(#,##0.00\);_(* "-"??_);_(@_)</c:formatCode>
                <c:ptCount val="31"/>
                <c:pt idx="0">
                  <c:v>339.5</c:v>
                </c:pt>
                <c:pt idx="1">
                  <c:v>207.01</c:v>
                </c:pt>
                <c:pt idx="2">
                  <c:v>316.42</c:v>
                </c:pt>
                <c:pt idx="3">
                  <c:v>115.98</c:v>
                </c:pt>
                <c:pt idx="4">
                  <c:v>117.63</c:v>
                </c:pt>
                <c:pt idx="5">
                  <c:v>44.36</c:v>
                </c:pt>
                <c:pt idx="6">
                  <c:v>50.55</c:v>
                </c:pt>
                <c:pt idx="7">
                  <c:v>74.5</c:v>
                </c:pt>
                <c:pt idx="8">
                  <c:v>80.22</c:v>
                </c:pt>
                <c:pt idx="9">
                  <c:v>62.04</c:v>
                </c:pt>
                <c:pt idx="10">
                  <c:v>45.3</c:v>
                </c:pt>
                <c:pt idx="11">
                  <c:v>322.2</c:v>
                </c:pt>
                <c:pt idx="12">
                  <c:v>110.34</c:v>
                </c:pt>
                <c:pt idx="13">
                  <c:v>200.08</c:v>
                </c:pt>
                <c:pt idx="14">
                  <c:v>219.07</c:v>
                </c:pt>
                <c:pt idx="15">
                  <c:v>192.18</c:v>
                </c:pt>
                <c:pt idx="16">
                  <c:v>164.73</c:v>
                </c:pt>
                <c:pt idx="17">
                  <c:v>221.67</c:v>
                </c:pt>
                <c:pt idx="18">
                  <c:v>243.49</c:v>
                </c:pt>
                <c:pt idx="19">
                  <c:v>144.80000000000001</c:v>
                </c:pt>
                <c:pt idx="20">
                  <c:v>201.96</c:v>
                </c:pt>
                <c:pt idx="21">
                  <c:v>322.2</c:v>
                </c:pt>
                <c:pt idx="22">
                  <c:v>128.41999999999999</c:v>
                </c:pt>
                <c:pt idx="23">
                  <c:v>279.79000000000002</c:v>
                </c:pt>
                <c:pt idx="24">
                  <c:v>97.83</c:v>
                </c:pt>
                <c:pt idx="25">
                  <c:v>188.1</c:v>
                </c:pt>
                <c:pt idx="26">
                  <c:v>170.64</c:v>
                </c:pt>
                <c:pt idx="27">
                  <c:v>139.32</c:v>
                </c:pt>
                <c:pt idx="28">
                  <c:v>238.7</c:v>
                </c:pt>
                <c:pt idx="29">
                  <c:v>118.26</c:v>
                </c:pt>
                <c:pt idx="30">
                  <c:v>110.03</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79465600"/>
        <c:axId val="179496064"/>
      </c:barChart>
      <c:catAx>
        <c:axId val="17946560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9496064"/>
        <c:crossesAt val="0"/>
        <c:auto val="0"/>
        <c:lblAlgn val="ctr"/>
        <c:lblOffset val="100"/>
        <c:tickLblSkip val="1"/>
        <c:tickMarkSkip val="1"/>
        <c:noMultiLvlLbl val="0"/>
      </c:catAx>
      <c:valAx>
        <c:axId val="17949606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946560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(3)'!$H$9:$H$39</c:f>
              <c:numCache>
                <c:formatCode>_(* #.##0000_);_(* \(#.##0000\);_(* "-"??_);_(@_)</c:formatCode>
                <c:ptCount val="31"/>
                <c:pt idx="0">
                  <c:v>7.77</c:v>
                </c:pt>
                <c:pt idx="1">
                  <c:v>8.5139999999999993</c:v>
                </c:pt>
                <c:pt idx="2">
                  <c:v>3.4119999999999999</c:v>
                </c:pt>
                <c:pt idx="3">
                  <c:v>0.29799999999999999</c:v>
                </c:pt>
                <c:pt idx="4">
                  <c:v>0.59299999999999997</c:v>
                </c:pt>
                <c:pt idx="5">
                  <c:v>4.2270000000000003</c:v>
                </c:pt>
                <c:pt idx="6">
                  <c:v>2.0150000000000001</c:v>
                </c:pt>
                <c:pt idx="7">
                  <c:v>0.38100000000000001</c:v>
                </c:pt>
                <c:pt idx="8">
                  <c:v>8.0000000000000002E-3</c:v>
                </c:pt>
                <c:pt idx="9">
                  <c:v>5.1999999999999998E-2</c:v>
                </c:pt>
                <c:pt idx="10">
                  <c:v>0.13700000000000001</c:v>
                </c:pt>
                <c:pt idx="11">
                  <c:v>0.48799999999999999</c:v>
                </c:pt>
                <c:pt idx="12">
                  <c:v>0.54100000000000004</c:v>
                </c:pt>
                <c:pt idx="13">
                  <c:v>8.7999999999999995E-2</c:v>
                </c:pt>
                <c:pt idx="14">
                  <c:v>0.153</c:v>
                </c:pt>
                <c:pt idx="15">
                  <c:v>0.251</c:v>
                </c:pt>
                <c:pt idx="16">
                  <c:v>0.02</c:v>
                </c:pt>
                <c:pt idx="17">
                  <c:v>0.128</c:v>
                </c:pt>
                <c:pt idx="18">
                  <c:v>0.11700000000000001</c:v>
                </c:pt>
                <c:pt idx="19">
                  <c:v>1.827</c:v>
                </c:pt>
                <c:pt idx="20">
                  <c:v>1.321</c:v>
                </c:pt>
                <c:pt idx="21">
                  <c:v>0.48799999999999999</c:v>
                </c:pt>
                <c:pt idx="22">
                  <c:v>0.499</c:v>
                </c:pt>
                <c:pt idx="23">
                  <c:v>0.16</c:v>
                </c:pt>
                <c:pt idx="24">
                  <c:v>1.9019999999999999</c:v>
                </c:pt>
                <c:pt idx="25">
                  <c:v>7.4999999999999997E-2</c:v>
                </c:pt>
                <c:pt idx="26">
                  <c:v>6.3E-2</c:v>
                </c:pt>
                <c:pt idx="27">
                  <c:v>6.4870000000000001</c:v>
                </c:pt>
                <c:pt idx="28">
                  <c:v>1.746</c:v>
                </c:pt>
                <c:pt idx="29">
                  <c:v>2.1789999999999998</c:v>
                </c:pt>
                <c:pt idx="30">
                  <c:v>1.4930000000000001</c:v>
                </c:pt>
              </c:numCache>
            </c:numRef>
          </c:val>
          <c:extLst xmlns:c16r2="http://schemas.microsoft.com/office/drawing/2015/06/chart">
            <c:ext xmlns:c16="http://schemas.microsoft.com/office/drawing/2014/chart" uri="{C3380CC4-5D6E-409C-BE32-E72D297353CC}">
              <c16:uniqueId val="{00000000-2DE7-4C20-BE76-D7EFA524CC84}"/>
            </c:ext>
          </c:extLst>
        </c:ser>
        <c:dLbls>
          <c:showLegendKey val="0"/>
          <c:showVal val="0"/>
          <c:showCatName val="0"/>
          <c:showSerName val="0"/>
          <c:showPercent val="0"/>
          <c:showBubbleSize val="0"/>
        </c:dLbls>
        <c:gapWidth val="150"/>
        <c:axId val="179566080"/>
        <c:axId val="17956761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(3)'!$I$9:$I$39</c:f>
              <c:numCache>
                <c:formatCode>_(* #.##0000_);_(* \(#.##0000\);_(* "-"??_);_(@_)</c:formatCode>
                <c:ptCount val="31"/>
                <c:pt idx="0">
                  <c:v>7.77</c:v>
                </c:pt>
                <c:pt idx="1">
                  <c:v>8.6530000000000005</c:v>
                </c:pt>
                <c:pt idx="2">
                  <c:v>3.5019999999999998</c:v>
                </c:pt>
                <c:pt idx="3">
                  <c:v>0.32400000000000001</c:v>
                </c:pt>
                <c:pt idx="4">
                  <c:v>0.61</c:v>
                </c:pt>
                <c:pt idx="5">
                  <c:v>4.2830000000000004</c:v>
                </c:pt>
                <c:pt idx="6">
                  <c:v>2.1440000000000001</c:v>
                </c:pt>
                <c:pt idx="7">
                  <c:v>0.42699999999999999</c:v>
                </c:pt>
                <c:pt idx="8">
                  <c:v>1.0999999999999999E-2</c:v>
                </c:pt>
                <c:pt idx="9">
                  <c:v>6.5000000000000002E-2</c:v>
                </c:pt>
                <c:pt idx="10">
                  <c:v>0.16</c:v>
                </c:pt>
                <c:pt idx="11">
                  <c:v>0.34799999999999998</c:v>
                </c:pt>
                <c:pt idx="12">
                  <c:v>1.0760000000000001</c:v>
                </c:pt>
                <c:pt idx="13">
                  <c:v>3.2000000000000001E-2</c:v>
                </c:pt>
                <c:pt idx="14">
                  <c:v>0.107</c:v>
                </c:pt>
                <c:pt idx="15">
                  <c:v>0.16200000000000001</c:v>
                </c:pt>
                <c:pt idx="16">
                  <c:v>0.20399999999999999</c:v>
                </c:pt>
                <c:pt idx="17">
                  <c:v>0.14199999999999999</c:v>
                </c:pt>
                <c:pt idx="18">
                  <c:v>0.46200000000000002</c:v>
                </c:pt>
                <c:pt idx="19">
                  <c:v>0.66800000000000004</c:v>
                </c:pt>
                <c:pt idx="20">
                  <c:v>1.68</c:v>
                </c:pt>
                <c:pt idx="21">
                  <c:v>0.34799999999999998</c:v>
                </c:pt>
                <c:pt idx="22">
                  <c:v>0.60499999999999998</c:v>
                </c:pt>
                <c:pt idx="23">
                  <c:v>0.187</c:v>
                </c:pt>
                <c:pt idx="24">
                  <c:v>2.0550000000000002</c:v>
                </c:pt>
                <c:pt idx="25">
                  <c:v>2.8000000000000001E-2</c:v>
                </c:pt>
                <c:pt idx="26">
                  <c:v>8.4000000000000005E-2</c:v>
                </c:pt>
                <c:pt idx="27">
                  <c:v>6.4329999999999998</c:v>
                </c:pt>
                <c:pt idx="28">
                  <c:v>2.2440000000000002</c:v>
                </c:pt>
                <c:pt idx="29">
                  <c:v>2.0470000000000002</c:v>
                </c:pt>
                <c:pt idx="30">
                  <c:v>1.744</c:v>
                </c:pt>
              </c:numCache>
            </c:numRef>
          </c:val>
          <c:smooth val="0"/>
          <c:extLst xmlns:c16r2="http://schemas.microsoft.com/office/drawing/2015/06/chart">
            <c:ext xmlns:c16="http://schemas.microsoft.com/office/drawing/2014/chart" uri="{C3380CC4-5D6E-409C-BE32-E72D297353CC}">
              <c16:uniqueId val="{00000001-2DE7-4C20-BE76-D7EFA524CC84}"/>
            </c:ext>
          </c:extLst>
        </c:ser>
        <c:dLbls>
          <c:showLegendKey val="0"/>
          <c:showVal val="0"/>
          <c:showCatName val="0"/>
          <c:showSerName val="0"/>
          <c:showPercent val="0"/>
          <c:showBubbleSize val="0"/>
        </c:dLbls>
        <c:marker val="1"/>
        <c:smooth val="0"/>
        <c:axId val="63517824"/>
        <c:axId val="63519360"/>
      </c:lineChart>
      <c:catAx>
        <c:axId val="17956608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9567616"/>
        <c:crosses val="autoZero"/>
        <c:auto val="1"/>
        <c:lblAlgn val="ctr"/>
        <c:lblOffset val="100"/>
        <c:tickMarkSkip val="1"/>
        <c:noMultiLvlLbl val="0"/>
      </c:catAx>
      <c:valAx>
        <c:axId val="17956761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9566080"/>
        <c:crosses val="autoZero"/>
        <c:crossBetween val="between"/>
        <c:majorUnit val="0.5"/>
      </c:valAx>
      <c:catAx>
        <c:axId val="63517824"/>
        <c:scaling>
          <c:orientation val="minMax"/>
        </c:scaling>
        <c:delete val="1"/>
        <c:axPos val="b"/>
        <c:numFmt formatCode="General" sourceLinked="1"/>
        <c:majorTickMark val="out"/>
        <c:minorTickMark val="none"/>
        <c:tickLblPos val="nextTo"/>
        <c:crossAx val="63519360"/>
        <c:crosses val="autoZero"/>
        <c:auto val="1"/>
        <c:lblAlgn val="ctr"/>
        <c:lblOffset val="100"/>
        <c:noMultiLvlLbl val="0"/>
      </c:catAx>
      <c:valAx>
        <c:axId val="6351936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6351782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(3)'!$F$9:$F$39</c:f>
              <c:numCache>
                <c:formatCode>_(* #,##0.00_);_(* \(#,##0.00\);_(* "-"??_);_(@_)</c:formatCode>
                <c:ptCount val="31"/>
                <c:pt idx="0">
                  <c:v>339.5</c:v>
                </c:pt>
                <c:pt idx="1">
                  <c:v>206.17</c:v>
                </c:pt>
                <c:pt idx="2">
                  <c:v>316.10000000000002</c:v>
                </c:pt>
                <c:pt idx="3">
                  <c:v>115.82</c:v>
                </c:pt>
                <c:pt idx="4">
                  <c:v>117.38</c:v>
                </c:pt>
                <c:pt idx="5">
                  <c:v>44.17</c:v>
                </c:pt>
                <c:pt idx="6">
                  <c:v>43.93</c:v>
                </c:pt>
                <c:pt idx="7">
                  <c:v>74.2</c:v>
                </c:pt>
                <c:pt idx="8">
                  <c:v>80.11</c:v>
                </c:pt>
                <c:pt idx="9">
                  <c:v>61.7</c:v>
                </c:pt>
                <c:pt idx="10">
                  <c:v>45.06</c:v>
                </c:pt>
                <c:pt idx="11">
                  <c:v>323.87</c:v>
                </c:pt>
                <c:pt idx="12">
                  <c:v>108.45</c:v>
                </c:pt>
                <c:pt idx="13">
                  <c:v>201.26</c:v>
                </c:pt>
                <c:pt idx="14">
                  <c:v>220.03</c:v>
                </c:pt>
                <c:pt idx="15">
                  <c:v>192.8</c:v>
                </c:pt>
                <c:pt idx="16">
                  <c:v>162.19</c:v>
                </c:pt>
                <c:pt idx="17">
                  <c:v>221.39</c:v>
                </c:pt>
                <c:pt idx="18">
                  <c:v>241.06</c:v>
                </c:pt>
                <c:pt idx="19">
                  <c:v>147.5</c:v>
                </c:pt>
                <c:pt idx="20">
                  <c:v>201.11</c:v>
                </c:pt>
                <c:pt idx="21">
                  <c:v>323.87</c:v>
                </c:pt>
                <c:pt idx="22">
                  <c:v>127.6</c:v>
                </c:pt>
                <c:pt idx="23">
                  <c:v>279.39</c:v>
                </c:pt>
                <c:pt idx="24">
                  <c:v>97.58</c:v>
                </c:pt>
                <c:pt idx="25">
                  <c:v>189.49</c:v>
                </c:pt>
                <c:pt idx="26">
                  <c:v>169.79</c:v>
                </c:pt>
                <c:pt idx="27">
                  <c:v>139.34</c:v>
                </c:pt>
                <c:pt idx="28">
                  <c:v>237.78</c:v>
                </c:pt>
                <c:pt idx="29">
                  <c:v>118.34</c:v>
                </c:pt>
                <c:pt idx="30">
                  <c:v>109.74</c:v>
                </c:pt>
              </c:numCache>
            </c:numRef>
          </c:val>
          <c:extLst xmlns:c16r2="http://schemas.microsoft.com/office/drawing/2015/06/chart">
            <c:ext xmlns:c16="http://schemas.microsoft.com/office/drawing/2014/chart" uri="{C3380CC4-5D6E-409C-BE32-E72D297353CC}">
              <c16:uniqueId val="{00000000-BDD6-4CB5-AB3E-C57574F51182}"/>
            </c:ext>
          </c:extLst>
        </c:ser>
        <c:ser>
          <c:idx val="0"/>
          <c:order val="1"/>
          <c:tx>
            <c:v>Elevasi Realisasi</c:v>
          </c:tx>
          <c:spPr>
            <a:ln w="254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(3)'!$G$9:$G$39</c:f>
              <c:numCache>
                <c:formatCode>_(* #,##0.00_);_(* \(#,##0.00\);_(* "-"??_);_(@_)</c:formatCode>
                <c:ptCount val="31"/>
                <c:pt idx="0">
                  <c:v>339.5</c:v>
                </c:pt>
                <c:pt idx="1">
                  <c:v>207.01</c:v>
                </c:pt>
                <c:pt idx="2">
                  <c:v>316.42</c:v>
                </c:pt>
                <c:pt idx="3">
                  <c:v>115.98</c:v>
                </c:pt>
                <c:pt idx="4">
                  <c:v>117.63</c:v>
                </c:pt>
                <c:pt idx="5">
                  <c:v>44.36</c:v>
                </c:pt>
                <c:pt idx="6">
                  <c:v>50.55</c:v>
                </c:pt>
                <c:pt idx="7">
                  <c:v>74.5</c:v>
                </c:pt>
                <c:pt idx="8">
                  <c:v>80.22</c:v>
                </c:pt>
                <c:pt idx="9">
                  <c:v>62.04</c:v>
                </c:pt>
                <c:pt idx="10">
                  <c:v>45.3</c:v>
                </c:pt>
                <c:pt idx="11">
                  <c:v>322.2</c:v>
                </c:pt>
                <c:pt idx="12">
                  <c:v>110.34</c:v>
                </c:pt>
                <c:pt idx="13">
                  <c:v>200.08</c:v>
                </c:pt>
                <c:pt idx="14">
                  <c:v>219.07</c:v>
                </c:pt>
                <c:pt idx="15">
                  <c:v>192.18</c:v>
                </c:pt>
                <c:pt idx="16">
                  <c:v>164.73</c:v>
                </c:pt>
                <c:pt idx="17">
                  <c:v>221.67</c:v>
                </c:pt>
                <c:pt idx="18">
                  <c:v>243.49</c:v>
                </c:pt>
                <c:pt idx="19">
                  <c:v>144.80000000000001</c:v>
                </c:pt>
                <c:pt idx="20">
                  <c:v>201.96</c:v>
                </c:pt>
                <c:pt idx="21">
                  <c:v>322.2</c:v>
                </c:pt>
                <c:pt idx="22">
                  <c:v>128.41999999999999</c:v>
                </c:pt>
                <c:pt idx="23">
                  <c:v>279.79000000000002</c:v>
                </c:pt>
                <c:pt idx="24">
                  <c:v>97.83</c:v>
                </c:pt>
                <c:pt idx="25">
                  <c:v>188.1</c:v>
                </c:pt>
                <c:pt idx="26">
                  <c:v>170.64</c:v>
                </c:pt>
                <c:pt idx="27">
                  <c:v>139.32</c:v>
                </c:pt>
                <c:pt idx="28">
                  <c:v>238.7</c:v>
                </c:pt>
                <c:pt idx="29">
                  <c:v>118.26</c:v>
                </c:pt>
                <c:pt idx="30">
                  <c:v>110.03</c:v>
                </c:pt>
              </c:numCache>
            </c:numRef>
          </c:val>
          <c:extLst xmlns:c16r2="http://schemas.microsoft.com/office/drawing/2015/06/chart">
            <c:ext xmlns:c16="http://schemas.microsoft.com/office/drawing/2014/chart" uri="{C3380CC4-5D6E-409C-BE32-E72D297353CC}">
              <c16:uniqueId val="{00000001-BDD6-4CB5-AB3E-C57574F51182}"/>
            </c:ext>
          </c:extLst>
        </c:ser>
        <c:dLbls>
          <c:showLegendKey val="0"/>
          <c:showVal val="0"/>
          <c:showCatName val="0"/>
          <c:showSerName val="0"/>
          <c:showPercent val="0"/>
          <c:showBubbleSize val="0"/>
        </c:dLbls>
        <c:gapWidth val="150"/>
        <c:axId val="63550592"/>
        <c:axId val="63552128"/>
      </c:barChart>
      <c:catAx>
        <c:axId val="6355059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63552128"/>
        <c:crossesAt val="0"/>
        <c:auto val="0"/>
        <c:lblAlgn val="ctr"/>
        <c:lblOffset val="100"/>
        <c:tickLblSkip val="1"/>
        <c:tickMarkSkip val="1"/>
        <c:noMultiLvlLbl val="0"/>
      </c:catAx>
      <c:valAx>
        <c:axId val="6355212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6355059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1390.03</c:v>
                </c:pt>
                <c:pt idx="4">
                  <c:v>1099.2</c:v>
                </c:pt>
                <c:pt idx="5">
                  <c:v>910.08</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77026560"/>
        <c:axId val="177028480"/>
      </c:lineChart>
      <c:catAx>
        <c:axId val="17702656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77028480"/>
        <c:crosses val="autoZero"/>
        <c:auto val="0"/>
        <c:lblAlgn val="ctr"/>
        <c:lblOffset val="100"/>
        <c:tickLblSkip val="1"/>
        <c:tickMarkSkip val="1"/>
        <c:noMultiLvlLbl val="0"/>
      </c:catAx>
      <c:valAx>
        <c:axId val="17702848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7702656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xmlns:c16r2="http://schemas.microsoft.com/office/drawing/2015/06/char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xmlns:c16r2="http://schemas.microsoft.com/office/drawing/2015/06/char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xmlns:c16r2="http://schemas.microsoft.com/office/drawing/2015/06/char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xmlns:c16r2="http://schemas.microsoft.com/office/drawing/2015/06/char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xmlns:c16r2="http://schemas.microsoft.com/office/drawing/2015/06/char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xmlns:c16r2="http://schemas.microsoft.com/office/drawing/2015/06/char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xmlns:c16r2="http://schemas.microsoft.com/office/drawing/2015/06/char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xmlns:c16r2="http://schemas.microsoft.com/office/drawing/2015/06/char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80206976"/>
        <c:axId val="180221056"/>
      </c:lineChart>
      <c:catAx>
        <c:axId val="18020697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80221056"/>
        <c:crosses val="autoZero"/>
        <c:auto val="0"/>
        <c:lblAlgn val="ctr"/>
        <c:lblOffset val="100"/>
        <c:tickLblSkip val="1"/>
        <c:tickMarkSkip val="1"/>
        <c:noMultiLvlLbl val="0"/>
      </c:catAx>
      <c:valAx>
        <c:axId val="18022105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8020697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79923200"/>
        <c:axId val="179933184"/>
      </c:lineChart>
      <c:catAx>
        <c:axId val="1799232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79933184"/>
        <c:crossesAt val="0"/>
        <c:auto val="0"/>
        <c:lblAlgn val="ctr"/>
        <c:lblOffset val="100"/>
        <c:tickLblSkip val="1"/>
        <c:tickMarkSkip val="1"/>
        <c:noMultiLvlLbl val="0"/>
      </c:catAx>
      <c:valAx>
        <c:axId val="17993318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9923200"/>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79237248"/>
        <c:axId val="179238784"/>
      </c:lineChart>
      <c:catAx>
        <c:axId val="1792372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79238784"/>
        <c:crossesAt val="0"/>
        <c:auto val="0"/>
        <c:lblAlgn val="ctr"/>
        <c:lblOffset val="100"/>
        <c:tickMarkSkip val="1"/>
        <c:noMultiLvlLbl val="0"/>
      </c:catAx>
      <c:valAx>
        <c:axId val="17923878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92372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79338624"/>
        <c:axId val="179360896"/>
      </c:lineChart>
      <c:catAx>
        <c:axId val="1793386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79360896"/>
        <c:crosses val="autoZero"/>
        <c:auto val="0"/>
        <c:lblAlgn val="ctr"/>
        <c:lblOffset val="100"/>
        <c:tickLblSkip val="1"/>
        <c:tickMarkSkip val="1"/>
        <c:noMultiLvlLbl val="0"/>
      </c:catAx>
      <c:valAx>
        <c:axId val="17936089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7933862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80008448"/>
        <c:axId val="180009984"/>
      </c:lineChart>
      <c:catAx>
        <c:axId val="1800084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80009984"/>
        <c:crosses val="autoZero"/>
        <c:auto val="0"/>
        <c:lblAlgn val="ctr"/>
        <c:lblOffset val="100"/>
        <c:tickLblSkip val="1"/>
        <c:tickMarkSkip val="1"/>
        <c:noMultiLvlLbl val="0"/>
      </c:catAx>
      <c:valAx>
        <c:axId val="18000998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800084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18.741</c:v>
                </c:pt>
                <c:pt idx="1">
                  <c:v>35.057000000000002</c:v>
                </c:pt>
                <c:pt idx="2">
                  <c:v>14.458</c:v>
                </c:pt>
                <c:pt idx="3">
                  <c:v>350.46300000000002</c:v>
                </c:pt>
                <c:pt idx="4">
                  <c:v>200.58199999999999</c:v>
                </c:pt>
                <c:pt idx="5">
                  <c:v>11.83</c:v>
                </c:pt>
                <c:pt idx="6">
                  <c:v>158.03</c:v>
                </c:pt>
                <c:pt idx="7">
                  <c:v>9.0860000000000003</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80294400"/>
        <c:axId val="180295936"/>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18.741</c:v>
                </c:pt>
                <c:pt idx="1">
                  <c:v>35.057000000000002</c:v>
                </c:pt>
                <c:pt idx="2">
                  <c:v>14.458</c:v>
                </c:pt>
                <c:pt idx="3">
                  <c:v>350.46300000000002</c:v>
                </c:pt>
                <c:pt idx="4">
                  <c:v>200.58199999999999</c:v>
                </c:pt>
                <c:pt idx="5">
                  <c:v>11.83</c:v>
                </c:pt>
                <c:pt idx="6">
                  <c:v>158.03</c:v>
                </c:pt>
                <c:pt idx="7">
                  <c:v>9.0860000000000003</c:v>
                </c:pt>
              </c:numCache>
            </c:numRef>
          </c:cat>
          <c:val>
            <c:numRef>
              <c:f>'RINCI 1'!$F$9:$F$16</c:f>
              <c:numCache>
                <c:formatCode>_(* #,##0.00_);_(* \(#,##0.00\);_(* "-"??_);_(@_)</c:formatCode>
                <c:ptCount val="8"/>
                <c:pt idx="0">
                  <c:v>54.5</c:v>
                </c:pt>
                <c:pt idx="1">
                  <c:v>73.23</c:v>
                </c:pt>
                <c:pt idx="2">
                  <c:v>461.3</c:v>
                </c:pt>
                <c:pt idx="3">
                  <c:v>81.12</c:v>
                </c:pt>
                <c:pt idx="4">
                  <c:v>134.4</c:v>
                </c:pt>
                <c:pt idx="5">
                  <c:v>62.35</c:v>
                </c:pt>
                <c:pt idx="6">
                  <c:v>163.02000000000001</c:v>
                </c:pt>
                <c:pt idx="7">
                  <c:v>229.68</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18.741</c:v>
                </c:pt>
                <c:pt idx="1">
                  <c:v>35.057000000000002</c:v>
                </c:pt>
                <c:pt idx="2">
                  <c:v>14.458</c:v>
                </c:pt>
                <c:pt idx="3">
                  <c:v>350.46300000000002</c:v>
                </c:pt>
                <c:pt idx="4">
                  <c:v>200.58199999999999</c:v>
                </c:pt>
                <c:pt idx="5">
                  <c:v>11.83</c:v>
                </c:pt>
                <c:pt idx="6">
                  <c:v>158.03</c:v>
                </c:pt>
                <c:pt idx="7">
                  <c:v>9.0860000000000003</c:v>
                </c:pt>
              </c:numCache>
            </c:numRef>
          </c:cat>
          <c:val>
            <c:numRef>
              <c:f>'RINCI 1'!$G$9:$G$16</c:f>
              <c:numCache>
                <c:formatCode>_(* #,##0.00_);_(* \(#,##0.00\);_(* "-"??_);_(@_)</c:formatCode>
                <c:ptCount val="8"/>
                <c:pt idx="0">
                  <c:v>53.4</c:v>
                </c:pt>
                <c:pt idx="1">
                  <c:v>75.150000000000006</c:v>
                </c:pt>
                <c:pt idx="2">
                  <c:v>460.89</c:v>
                </c:pt>
                <c:pt idx="3">
                  <c:v>81.77</c:v>
                </c:pt>
                <c:pt idx="4">
                  <c:v>132.63</c:v>
                </c:pt>
                <c:pt idx="5">
                  <c:v>59</c:v>
                </c:pt>
                <c:pt idx="6">
                  <c:v>159.72</c:v>
                </c:pt>
                <c:pt idx="7">
                  <c:v>229.74</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80298112"/>
        <c:axId val="180300032"/>
      </c:lineChart>
      <c:catAx>
        <c:axId val="18029440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80295936"/>
        <c:crossesAt val="10"/>
        <c:auto val="0"/>
        <c:lblAlgn val="ctr"/>
        <c:lblOffset val="100"/>
        <c:tickLblSkip val="1"/>
        <c:tickMarkSkip val="1"/>
        <c:noMultiLvlLbl val="0"/>
      </c:catAx>
      <c:valAx>
        <c:axId val="18029593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80294400"/>
        <c:crosses val="autoZero"/>
        <c:crossBetween val="between"/>
        <c:majorUnit val="100"/>
      </c:valAx>
      <c:catAx>
        <c:axId val="180298112"/>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80300032"/>
        <c:crosses val="autoZero"/>
        <c:auto val="0"/>
        <c:lblAlgn val="ctr"/>
        <c:lblOffset val="100"/>
        <c:noMultiLvlLbl val="0"/>
      </c:catAx>
      <c:valAx>
        <c:axId val="18030003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80298112"/>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80500352"/>
        <c:axId val="180501888"/>
      </c:lineChart>
      <c:catAx>
        <c:axId val="18050035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80501888"/>
        <c:crosses val="autoZero"/>
        <c:auto val="1"/>
        <c:lblAlgn val="ctr"/>
        <c:lblOffset val="100"/>
        <c:noMultiLvlLbl val="0"/>
      </c:catAx>
      <c:valAx>
        <c:axId val="18050188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8050035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81004928"/>
        <c:axId val="181273344"/>
      </c:barChart>
      <c:catAx>
        <c:axId val="18100492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81273344"/>
        <c:crossesAt val="0"/>
        <c:auto val="0"/>
        <c:lblAlgn val="ctr"/>
        <c:lblOffset val="100"/>
        <c:tickLblSkip val="1"/>
        <c:tickMarkSkip val="1"/>
        <c:noMultiLvlLbl val="0"/>
      </c:catAx>
      <c:valAx>
        <c:axId val="18127334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8100492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81303552"/>
        <c:axId val="181018624"/>
      </c:lineChart>
      <c:dateAx>
        <c:axId val="18130355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81018624"/>
        <c:crosses val="autoZero"/>
        <c:auto val="0"/>
        <c:lblOffset val="100"/>
        <c:baseTimeUnit val="days"/>
        <c:majorUnit val="1"/>
        <c:majorTimeUnit val="months"/>
        <c:minorUnit val="1"/>
        <c:minorTimeUnit val="months"/>
      </c:dateAx>
      <c:valAx>
        <c:axId val="18101862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8130355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81061888"/>
        <c:axId val="18106406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81061888"/>
        <c:axId val="181064064"/>
      </c:lineChart>
      <c:catAx>
        <c:axId val="181061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81064064"/>
        <c:crosses val="autoZero"/>
        <c:auto val="0"/>
        <c:lblAlgn val="ctr"/>
        <c:lblOffset val="100"/>
        <c:tickLblSkip val="1"/>
        <c:tickMarkSkip val="1"/>
        <c:noMultiLvlLbl val="0"/>
      </c:catAx>
      <c:valAx>
        <c:axId val="18106406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8106188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76885760"/>
        <c:axId val="176887296"/>
      </c:lineChart>
      <c:catAx>
        <c:axId val="17688576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6887296"/>
        <c:crosses val="autoZero"/>
        <c:auto val="0"/>
        <c:lblAlgn val="ctr"/>
        <c:lblOffset val="100"/>
        <c:tickLblSkip val="1"/>
        <c:tickMarkSkip val="1"/>
        <c:noMultiLvlLbl val="0"/>
      </c:catAx>
      <c:valAx>
        <c:axId val="17688729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7688576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GRARWNING!$M$4</c:f>
              <c:strCache>
                <c:ptCount val="1"/>
                <c:pt idx="0">
                  <c:v>2022</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GRARWNING!$N$4</c:f>
              <c:strCache>
                <c:ptCount val="1"/>
                <c:pt idx="0">
                  <c:v>2023</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GRARWNING!$O$4</c:f>
              <c:strCache>
                <c:ptCount val="1"/>
                <c:pt idx="0">
                  <c:v>2024</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xmlns:c16r2="http://schemas.microsoft.com/office/drawing/2015/06/char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177455872"/>
        <c:axId val="177457408"/>
      </c:lineChart>
      <c:catAx>
        <c:axId val="177455872"/>
        <c:scaling>
          <c:orientation val="minMax"/>
        </c:scaling>
        <c:delete val="0"/>
        <c:axPos val="b"/>
        <c:numFmt formatCode="General" sourceLinked="0"/>
        <c:majorTickMark val="none"/>
        <c:minorTickMark val="none"/>
        <c:tickLblPos val="nextTo"/>
        <c:txPr>
          <a:bodyPr/>
          <a:lstStyle/>
          <a:p>
            <a:pPr>
              <a:defRPr lang="en-GB"/>
            </a:pPr>
            <a:endParaRPr lang="en-US"/>
          </a:p>
        </c:txPr>
        <c:crossAx val="177457408"/>
        <c:crosses val="autoZero"/>
        <c:auto val="1"/>
        <c:lblAlgn val="ctr"/>
        <c:lblOffset val="100"/>
        <c:noMultiLvlLbl val="0"/>
      </c:catAx>
      <c:valAx>
        <c:axId val="17745740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7745587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77514752"/>
        <c:axId val="177516544"/>
      </c:lineChart>
      <c:catAx>
        <c:axId val="1775147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77516544"/>
        <c:crosses val="autoZero"/>
        <c:auto val="0"/>
        <c:lblAlgn val="ctr"/>
        <c:lblOffset val="100"/>
        <c:tickLblSkip val="1"/>
        <c:tickMarkSkip val="1"/>
        <c:noMultiLvlLbl val="0"/>
      </c:catAx>
      <c:valAx>
        <c:axId val="17751654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7751475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77627520"/>
        <c:axId val="177629056"/>
      </c:lineChart>
      <c:catAx>
        <c:axId val="1776275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77629056"/>
        <c:crossesAt val="0"/>
        <c:auto val="0"/>
        <c:lblAlgn val="ctr"/>
        <c:lblOffset val="100"/>
        <c:tickMarkSkip val="1"/>
        <c:noMultiLvlLbl val="0"/>
      </c:catAx>
      <c:valAx>
        <c:axId val="17762905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762752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77263744"/>
        <c:axId val="177265280"/>
      </c:lineChart>
      <c:catAx>
        <c:axId val="17726374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77265280"/>
        <c:crosses val="autoZero"/>
        <c:auto val="0"/>
        <c:lblAlgn val="ctr"/>
        <c:lblOffset val="100"/>
        <c:tickLblSkip val="1"/>
        <c:tickMarkSkip val="1"/>
        <c:noMultiLvlLbl val="0"/>
      </c:catAx>
      <c:valAx>
        <c:axId val="17726528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77263744"/>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77398144"/>
        <c:axId val="177399680"/>
      </c:lineChart>
      <c:catAx>
        <c:axId val="17739814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77399680"/>
        <c:crosses val="autoZero"/>
        <c:auto val="1"/>
        <c:lblAlgn val="ctr"/>
        <c:lblOffset val="100"/>
        <c:noMultiLvlLbl val="0"/>
      </c:catAx>
      <c:valAx>
        <c:axId val="17739968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7739814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77673344"/>
        <c:axId val="177675264"/>
      </c:barChart>
      <c:catAx>
        <c:axId val="17767334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77675264"/>
        <c:crossesAt val="0"/>
        <c:auto val="0"/>
        <c:lblAlgn val="ctr"/>
        <c:lblOffset val="100"/>
        <c:tickLblSkip val="1"/>
        <c:tickMarkSkip val="1"/>
        <c:noMultiLvlLbl val="0"/>
      </c:catAx>
      <c:valAx>
        <c:axId val="17767526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7767334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122463</xdr:colOff>
      <xdr:row>22</xdr:row>
      <xdr:rowOff>10583</xdr:rowOff>
    </xdr:from>
    <xdr:to>
      <xdr:col>4</xdr:col>
      <xdr:colOff>1129393</xdr:colOff>
      <xdr:row>27</xdr:row>
      <xdr:rowOff>24190</xdr:rowOff>
    </xdr:to>
    <xdr:sp macro="" textlink="">
      <xdr:nvSpPr>
        <xdr:cNvPr id="5" name="Snip Diagonal Corner Rectangle 4">
          <a:extLst>
            <a:ext uri="{FF2B5EF4-FFF2-40B4-BE49-F238E27FC236}">
              <a16:creationId xmlns:a16="http://schemas.microsoft.com/office/drawing/2014/main" xmlns="" id="{00000000-0008-0000-0900-000005000000}"/>
            </a:ext>
          </a:extLst>
        </xdr:cNvPr>
        <xdr:cNvSpPr/>
      </xdr:nvSpPr>
      <xdr:spPr>
        <a:xfrm>
          <a:off x="394606" y="3902226"/>
          <a:ext cx="2775858" cy="830035"/>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xmlns="" id="{00000000-0008-0000-0B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28</xdr:row>
      <xdr:rowOff>38100</xdr:rowOff>
    </xdr:from>
    <xdr:to>
      <xdr:col>9</xdr:col>
      <xdr:colOff>942975</xdr:colOff>
      <xdr:row>60</xdr:row>
      <xdr:rowOff>85725</xdr:rowOff>
    </xdr:to>
    <xdr:graphicFrame macro="">
      <xdr:nvGraphicFramePr>
        <xdr:cNvPr id="2" name="Chart 6">
          <a:extLst>
            <a:ext uri="{FF2B5EF4-FFF2-40B4-BE49-F238E27FC236}">
              <a16:creationId xmlns:a16="http://schemas.microsoft.com/office/drawing/2014/main" xmlns="" id="{A5C37C5D-C6AD-4E0F-8C54-68961A311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xmlns="" id="{00000000-0008-0000-0D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xmlns="" id="{00000000-0008-0000-0D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a16="http://schemas.microsoft.com/office/drawing/2014/main" xmlns="" id="{961DC7BA-1558-4843-82C2-D4909F602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a16="http://schemas.microsoft.com/office/drawing/2014/main" xmlns="" id="{66BFDCF1-1452-41AE-B43F-0839923EF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xmlns="" id="{00000000-0008-0000-0F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xmlns="" id="{00000000-0008-0000-0F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xmlns="" id="{00000000-0008-0000-0F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xmlns="" id="{00000000-0008-0000-0F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10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11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12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13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15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xmlns=""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xmlns=""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xmlns=""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a16="http://schemas.microsoft.com/office/drawing/2014/main" xmlns=""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xmlns=""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xmlns=""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xmlns=""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46</xdr:row>
      <xdr:rowOff>258536</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xmlns=""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xmlns=""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22" zoomScale="90" zoomScaleNormal="90" workbookViewId="0">
      <selection activeCell="B44" sqref="B44:J44"/>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61"/>
      <c r="C37" s="862"/>
      <c r="D37" s="862"/>
      <c r="E37" s="862"/>
      <c r="F37" s="862"/>
      <c r="G37" s="862"/>
      <c r="H37" s="862"/>
      <c r="I37" s="862"/>
      <c r="J37" s="863"/>
    </row>
    <row r="38" spans="2:10" x14ac:dyDescent="0.2">
      <c r="B38" s="243"/>
      <c r="J38" s="244"/>
    </row>
    <row r="39" spans="2:10" ht="20.25" x14ac:dyDescent="0.3">
      <c r="B39" s="861" t="s">
        <v>350</v>
      </c>
      <c r="C39" s="862"/>
      <c r="D39" s="862"/>
      <c r="E39" s="862"/>
      <c r="F39" s="862"/>
      <c r="G39" s="862"/>
      <c r="H39" s="862"/>
      <c r="I39" s="862"/>
      <c r="J39" s="863"/>
    </row>
    <row r="40" spans="2:10" x14ac:dyDescent="0.2">
      <c r="B40" s="243"/>
      <c r="J40" s="244"/>
    </row>
    <row r="41" spans="2:10" x14ac:dyDescent="0.2">
      <c r="B41" s="243"/>
      <c r="J41" s="244"/>
    </row>
    <row r="42" spans="2:10" ht="15" customHeight="1" x14ac:dyDescent="0.2">
      <c r="B42" s="243"/>
      <c r="J42" s="244"/>
    </row>
    <row r="43" spans="2:10" ht="26.25" customHeight="1" x14ac:dyDescent="0.4">
      <c r="B43" s="858" t="s">
        <v>292</v>
      </c>
      <c r="C43" s="859"/>
      <c r="D43" s="859"/>
      <c r="E43" s="859"/>
      <c r="F43" s="859"/>
      <c r="G43" s="859"/>
      <c r="H43" s="859"/>
      <c r="I43" s="859"/>
      <c r="J43" s="860"/>
    </row>
    <row r="44" spans="2:10" ht="26.25" x14ac:dyDescent="0.4">
      <c r="B44" s="858" t="s">
        <v>293</v>
      </c>
      <c r="C44" s="859"/>
      <c r="D44" s="859"/>
      <c r="E44" s="859"/>
      <c r="F44" s="859"/>
      <c r="G44" s="859"/>
      <c r="H44" s="859"/>
      <c r="I44" s="859"/>
      <c r="J44" s="860"/>
    </row>
    <row r="45" spans="2:10" ht="26.25" x14ac:dyDescent="0.4">
      <c r="B45" s="858" t="s">
        <v>178</v>
      </c>
      <c r="C45" s="859"/>
      <c r="D45" s="859"/>
      <c r="E45" s="859"/>
      <c r="F45" s="859"/>
      <c r="G45" s="859"/>
      <c r="H45" s="859"/>
      <c r="I45" s="859"/>
      <c r="J45" s="860"/>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3"/>
  <sheetViews>
    <sheetView showGridLines="0" zoomScale="70" zoomScaleNormal="70" workbookViewId="0">
      <selection activeCell="B1" sqref="B1:Q55"/>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14" t="s">
        <v>331</v>
      </c>
      <c r="C1" s="915"/>
      <c r="D1" s="915"/>
      <c r="E1" s="915"/>
      <c r="F1" s="915"/>
      <c r="G1" s="915"/>
      <c r="H1" s="915"/>
      <c r="I1" s="915"/>
      <c r="J1" s="915"/>
      <c r="K1" s="915"/>
      <c r="L1" s="915"/>
      <c r="M1" s="915"/>
      <c r="N1" s="915"/>
      <c r="O1" s="915"/>
      <c r="P1" s="915"/>
      <c r="Q1" s="915"/>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16" t="s">
        <v>353</v>
      </c>
      <c r="C2" s="917"/>
      <c r="D2" s="917"/>
      <c r="E2" s="917"/>
      <c r="F2" s="917"/>
      <c r="G2" s="917"/>
      <c r="H2" s="917"/>
      <c r="I2" s="917"/>
      <c r="J2" s="917"/>
      <c r="K2" s="917"/>
      <c r="L2" s="917"/>
      <c r="M2" s="917"/>
      <c r="N2" s="917"/>
      <c r="O2" s="917"/>
      <c r="P2" s="917"/>
      <c r="Q2" s="917"/>
      <c r="R2" s="287"/>
      <c r="S2" s="326">
        <v>1</v>
      </c>
      <c r="T2" s="234" t="str">
        <f>IF('RINCI 1'!J9=0,"Kosong",IF('RINCI 1'!J9&lt;85,"Di Bawah Rencana",IF('RINCI 1'!J9&gt;100,"Di Atas Rencana","Sesuai Rencana")))</f>
        <v>Di Bawah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Atas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Di Bawah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Di Atas Rencana</v>
      </c>
      <c r="U5" s="234" t="s">
        <v>34</v>
      </c>
      <c r="W5" s="234" t="s">
        <v>166</v>
      </c>
      <c r="X5" s="234" t="str">
        <f t="array" ref="X5">IF(ISERROR(INDEX($T$1:$U$10,SMALL(IF($T$1:$T$10=$X$4,ROW($T$1:$T$10)),ROW(1:1)),2)),"",INDEX($T$1:$U$10,SMALL(IF($T$1:$T$10=$X$4,ROW($T$1:$T$10)),ROW(1:1)),2))</f>
        <v>Malahayu</v>
      </c>
      <c r="AA5" s="326">
        <v>4</v>
      </c>
      <c r="AB5" s="234" t="str">
        <f>IF('RINCI 2'!J12=0,"Kosong",IF('RINCI 2'!J12&lt;85,"Di Bawah Rencana",IF('RINCI 2'!J12&gt;100,"Di Atas Rencana","Sesuai Rencana")))</f>
        <v>Di Atas Rencana</v>
      </c>
      <c r="AC5" s="234" t="s">
        <v>35</v>
      </c>
      <c r="AE5" s="234" t="s">
        <v>166</v>
      </c>
      <c r="AF5" s="234" t="str">
        <f t="array" ref="AF5">IF(ISERROR(INDEX($AB$1:$AC$33,SMALL(IF($AB$1:$AB$33=$AF$4,ROW($AB$1:$AB$33)),ROW(1:1)),2)),"",INDEX($AB$1:$AC$33,SMALL(IF($AB$1:$AB$33=$AF$4,ROW($AB$1:$AB$33)),ROW(1:1)),2))</f>
        <v>Plumbon</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Di Atas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Bawah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Sesuai Rencana</v>
      </c>
      <c r="U8" s="234" t="s">
        <v>65</v>
      </c>
      <c r="W8" s="234" t="s">
        <v>166</v>
      </c>
      <c r="X8" s="234" t="str">
        <f t="array" ref="X8">IF(ISERROR(INDEX($T$1:$U$10,SMALL(IF($T$1:$T$10=$X$7,ROW($T$1:$T$10)),ROW(1:1)),2)),"",INDEX($T$1:$U$10,SMALL(IF($T$1:$T$10=$X$7,ROW($T$1:$T$10)),ROW(1:1)),2))</f>
        <v>Wadaslintang</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Sesuai Rencana</v>
      </c>
      <c r="U10" s="234" t="s">
        <v>217</v>
      </c>
      <c r="W10" s="234" t="s">
        <v>164</v>
      </c>
      <c r="X10" s="234" t="s">
        <v>170</v>
      </c>
      <c r="AA10" s="326">
        <v>9</v>
      </c>
      <c r="AB10" s="234" t="str">
        <f>IF('RINCI 2'!J17=0,"Kosong",IF('RINCI 2'!J17&lt;85,"Di Bawah Rencana",IF('RINCI 2'!J17&gt;100,"Di Atas Rencana","Sesuai Rencana")))</f>
        <v>Di Atas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Sesuai Rencana</v>
      </c>
      <c r="U11" s="234" t="s">
        <v>335</v>
      </c>
      <c r="W11" s="234" t="s">
        <v>166</v>
      </c>
      <c r="X11" s="234" t="str">
        <f t="array" ref="X11">IF(ISERROR(INDEX($T$1:$U$10,SMALL(IF($T$1:$T$10=$X$10,ROW($T$1:$T$10)),ROW(1:1)),2)),"",INDEX($T$1:$U$10,SMALL(IF($T$1:$T$10=$X$10,ROW($T$1:$T$10)),ROW(1:1)),2))</f>
        <v>Cacaban</v>
      </c>
      <c r="AA11" s="326">
        <v>10</v>
      </c>
      <c r="AB11" s="234" t="str">
        <f>IF('RINCI 2'!J18=0,"Kosong",IF('RINCI 2'!J18&lt;85,"Di Bawah Rencana",IF('RINCI 2'!J18&gt;100,"Di Atas Rencana","Sesuai Rencana")))</f>
        <v>Di Atas Rencana</v>
      </c>
      <c r="AC11" s="234" t="s">
        <v>42</v>
      </c>
      <c r="AE11" s="234" t="s">
        <v>166</v>
      </c>
      <c r="AF11" s="234" t="str">
        <f t="array" ref="AF11">IF(ISERROR(INDEX($AB$1:$AC$33,SMALL(IF($AB$1:$AB$33=$AF$10,ROW($AB$1:$AB$33)),ROW(1:1)),2)),"",INDEX($AB$1:$AC$33,SMALL(IF($AB$1:$AB$33=$AF$10,ROW($AB$1:$AB$33)),ROW(1:1)),2))</f>
        <v>Gembong</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Atas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Di Bawah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Atas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Atas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Atas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Di Atas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Bawah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0</v>
      </c>
      <c r="C24" s="752" t="s">
        <v>272</v>
      </c>
      <c r="D24" s="752"/>
      <c r="E24" s="753"/>
      <c r="F24" s="754">
        <f>'RINCI 2'!J48+'RINCI 1'!J26</f>
        <v>11</v>
      </c>
      <c r="G24" s="752" t="s">
        <v>275</v>
      </c>
      <c r="H24" s="752"/>
      <c r="I24" s="753"/>
      <c r="J24" s="754">
        <f>'RINCI 2'!J47+'RINCI 1'!J25</f>
        <v>6</v>
      </c>
      <c r="K24" s="752" t="s">
        <v>276</v>
      </c>
      <c r="L24" s="753"/>
      <c r="M24" s="753"/>
      <c r="N24" s="754">
        <f>'RINCI 1'!J24+'RINCI 2'!J46</f>
        <v>27</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Atas Rencana</v>
      </c>
      <c r="AC24" s="234" t="s">
        <v>56</v>
      </c>
      <c r="AI24" s="284"/>
    </row>
    <row r="25" spans="2:35" x14ac:dyDescent="0.2">
      <c r="B25" s="751">
        <f>'RINCI 1'!J27</f>
        <v>0</v>
      </c>
      <c r="C25" s="752" t="s">
        <v>273</v>
      </c>
      <c r="D25" s="752"/>
      <c r="E25" s="753"/>
      <c r="F25" s="754">
        <f>'RINCI 1'!J26</f>
        <v>4</v>
      </c>
      <c r="G25" s="752" t="s">
        <v>273</v>
      </c>
      <c r="H25" s="752"/>
      <c r="I25" s="753"/>
      <c r="J25" s="754">
        <f>'RINCI 1'!J25</f>
        <v>2</v>
      </c>
      <c r="K25" s="752" t="s">
        <v>273</v>
      </c>
      <c r="L25" s="753"/>
      <c r="M25" s="753"/>
      <c r="N25" s="754">
        <f>'RINCI 1'!J24</f>
        <v>5</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0</v>
      </c>
      <c r="C26" s="752" t="s">
        <v>274</v>
      </c>
      <c r="D26" s="752"/>
      <c r="E26" s="753"/>
      <c r="F26" s="751">
        <f>'RINCI 2'!J48</f>
        <v>7</v>
      </c>
      <c r="G26" s="752" t="s">
        <v>274</v>
      </c>
      <c r="H26" s="752"/>
      <c r="I26" s="753"/>
      <c r="J26" s="751">
        <f>'RINCI 2'!J47</f>
        <v>4</v>
      </c>
      <c r="K26" s="752" t="s">
        <v>274</v>
      </c>
      <c r="L26" s="753"/>
      <c r="M26" s="753"/>
      <c r="N26" s="754">
        <f>'RINCI 2'!J46</f>
        <v>22</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Bawah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Di Atas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Sesuai Rencana</v>
      </c>
      <c r="AC28" s="234" t="s">
        <v>60</v>
      </c>
      <c r="AI28" s="284"/>
    </row>
    <row r="29" spans="2:35" x14ac:dyDescent="0.2">
      <c r="B29" s="913" t="s">
        <v>171</v>
      </c>
      <c r="C29" s="912"/>
      <c r="D29" s="912"/>
      <c r="E29" s="912"/>
      <c r="F29" s="912" t="s">
        <v>172</v>
      </c>
      <c r="G29" s="912"/>
      <c r="H29" s="912"/>
      <c r="I29" s="912"/>
      <c r="J29" s="912" t="s">
        <v>173</v>
      </c>
      <c r="K29" s="912"/>
      <c r="L29" s="912"/>
      <c r="M29" s="912"/>
      <c r="N29" s="912" t="s">
        <v>191</v>
      </c>
      <c r="O29" s="912"/>
      <c r="P29" s="912"/>
      <c r="Q29" s="912"/>
      <c r="R29" s="287"/>
      <c r="AA29" s="326">
        <v>28</v>
      </c>
      <c r="AB29" s="234" t="str">
        <f>IF('RINCI 2'!J37=0,"Kosong",IF('RINCI 2'!J37&lt;85,"Di Bawah Rencana",IF('RINCI 2'!J37&gt;100,"Di Atas Rencana","Sesuai Rencana")))</f>
        <v>Di Atas Rencana</v>
      </c>
      <c r="AC29" s="234" t="s">
        <v>61</v>
      </c>
      <c r="AI29" s="284"/>
    </row>
    <row r="30" spans="2:35" x14ac:dyDescent="0.2">
      <c r="B30" s="913" t="s">
        <v>174</v>
      </c>
      <c r="C30" s="912"/>
      <c r="D30" s="912" t="s">
        <v>175</v>
      </c>
      <c r="E30" s="912"/>
      <c r="F30" s="912" t="s">
        <v>174</v>
      </c>
      <c r="G30" s="912"/>
      <c r="H30" s="912" t="s">
        <v>175</v>
      </c>
      <c r="I30" s="912"/>
      <c r="J30" s="912" t="s">
        <v>174</v>
      </c>
      <c r="K30" s="912"/>
      <c r="L30" s="912" t="s">
        <v>175</v>
      </c>
      <c r="M30" s="912"/>
      <c r="N30" s="912" t="s">
        <v>174</v>
      </c>
      <c r="O30" s="912"/>
      <c r="P30" s="912" t="s">
        <v>175</v>
      </c>
      <c r="Q30" s="912"/>
      <c r="R30" s="287"/>
      <c r="AA30" s="326">
        <v>29</v>
      </c>
      <c r="AB30" s="234" t="str">
        <f>IF('RINCI 2'!J38=0,"Kosong",IF('RINCI 2'!J38&lt;85,"Di Bawah Rencana",IF('RINCI 2'!J38&gt;100,"Di Atas Rencana","Sesuai Rencana")))</f>
        <v>Sesuai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Malahayu</v>
      </c>
      <c r="H31" s="234" t="str">
        <f t="array" ref="H31">IF(ISERROR(INDEX($AB$1:$AC$33,SMALL(IF($AB$1:$AB$33=$AF$4,ROW($AB$1:$AB$33)),ROW(1:1)),2)),"",INDEX($AB$1:$AC$33,SMALL(IF($AB$1:$AB$33=$AF$4,ROW($AB$1:$AB$33)),ROW(1:1)),2))</f>
        <v>Plumbon</v>
      </c>
      <c r="J31" s="234" t="str">
        <f t="array" ref="J31">IF(ISERROR(INDEX($T$1:$U$10,SMALL(IF($T$1:$T$10=$X$7,ROW($T$1:$T$10)),ROW(1:1)),2)),"",INDEX($T$1:$U$10,SMALL(IF($T$1:$T$10=$X$7,ROW($T$1:$T$10)),ROW(1:1)),2))</f>
        <v>Wadaslintang</v>
      </c>
      <c r="L31" s="234" t="str">
        <f t="array" ref="L31">IF(ISERROR(INDEX($AB$1:$AC$33,SMALL(IF($AB$1:$AB$33=$AF$7,ROW($AB$1:$AB$33)),ROW(1:1)),2)),"",INDEX($AB$1:$AC$33,SMALL(IF($AB$1:$AB$33=$AF$7,ROW($AB$1:$AB$33)),ROW(1:1)),2))</f>
        <v>Penjalin</v>
      </c>
      <c r="N31" s="234" t="str">
        <f t="array" ref="N31">IF(ISERROR(INDEX($T$1:$U$10,SMALL(IF($T$1:$T$10=$X$10,ROW($T$1:$T$10)),ROW(1:1)),2)),"",INDEX($T$1:$U$10,SMALL(IF($T$1:$T$10=$X$10,ROW($T$1:$T$10)),ROW(1:1)),2))</f>
        <v>Cacaban</v>
      </c>
      <c r="P31" s="234" t="str">
        <f t="array" ref="P31">IF(ISERROR(INDEX($AB$1:$AC$33,SMALL(IF($AB$1:$AB$33=$AF$10,ROW($AB$1:$AB$33)),ROW(1:1)),2)),"",INDEX($AB$1:$AC$33,SMALL(IF($AB$1:$AB$33=$AF$10,ROW($AB$1:$AB$33)),ROW(1:1)),2))</f>
        <v>Gembong</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Rawapening</v>
      </c>
      <c r="H32" s="234" t="str">
        <f t="array" ref="H32">IF(ISERROR(INDEX($AB$1:$AC$33,SMALL(IF($AB$1:$AB$33=$AF$4,ROW($AB$1:$AB$33)),ROW(2:2)),2)),"",INDEX($AB$1:$AC$33,SMALL(IF($AB$1:$AB$33=$AF$4,ROW($AB$1:$AB$33)),ROW(2:2)),2))</f>
        <v>Songputri</v>
      </c>
      <c r="J32" s="234" t="str">
        <f t="array" ref="J32">IF(ISERROR(INDEX($T$1:$U$10,SMALL(IF($T$1:$T$10=$X$7,ROW($T$1:$T$10)),ROW(2:2)),2)),"",INDEX($T$1:$U$10,SMALL(IF($T$1:$T$10=$X$7,ROW($T$1:$T$10)),ROW(2:2)),2))</f>
        <v>Jatibarang</v>
      </c>
      <c r="L32" s="234" t="str">
        <f t="array" ref="L32">IF(ISERROR(INDEX($AB$1:$AC$33,SMALL(IF($AB$1:$AB$33=$AF$7,ROW($AB$1:$AB$33)),ROW(2:2)),2)),"",INDEX($AB$1:$AC$33,SMALL(IF($AB$1:$AB$33=$AF$7,ROW($AB$1:$AB$33)),ROW(2:2)),2))</f>
        <v>Cengklik</v>
      </c>
      <c r="N32" s="234" t="str">
        <f t="array" ref="N32">IF(ISERROR(INDEX($T$1:$U$10,SMALL(IF($T$1:$T$10=$X$10,ROW($T$1:$T$10)),ROW(2:2)),2)),"",INDEX($T$1:$U$10,SMALL(IF($T$1:$T$10=$X$10,ROW($T$1:$T$10)),ROW(2:2)),2))</f>
        <v>Kedungombo</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F33" s="234" t="str">
        <f t="array" ref="F33">IF(ISERROR(INDEX($T$1:$U$10,SMALL(IF($T$1:$T$10=$X$4,ROW($T$1:$T$10)),ROW(3:3)),2)),"",INDEX($T$1:$U$10,SMALL(IF($T$1:$T$10=$X$4,ROW($T$1:$T$10)),ROW(3:3)),2))</f>
        <v>Wonogiri</v>
      </c>
      <c r="H33" s="234" t="str">
        <f t="array" ref="H33">IF(ISERROR(INDEX($AB$1:$AC$33,SMALL(IF($AB$1:$AB$33=$AF$4,ROW($AB$1:$AB$33)),ROW(3:3)),2)),"",INDEX($AB$1:$AC$33,SMALL(IF($AB$1:$AB$33=$AF$4,ROW($AB$1:$AB$33)),ROW(3:3)),2))</f>
        <v>Parangjoho</v>
      </c>
      <c r="J33" s="234" t="str">
        <f t="array" ref="J33">IF(ISERROR(INDEX($T$1:$U$10,SMALL(IF($T$1:$T$10=$X$7,ROW($T$1:$T$10)),ROW(3:3)),2)),"",INDEX($T$1:$U$10,SMALL(IF($T$1:$T$10=$X$7,ROW($T$1:$T$10)),ROW(3:3)),2))</f>
        <v/>
      </c>
      <c r="L33" s="234" t="str">
        <f t="array" ref="L33">IF(ISERROR(INDEX($AB$1:$AC$33,SMALL(IF($AB$1:$AB$33=$AF$7,ROW($AB$1:$AB$33)),ROW(3:3)),2)),"",INDEX($AB$1:$AC$33,SMALL(IF($AB$1:$AB$33=$AF$7,ROW($AB$1:$AB$33)),ROW(3:3)),2))</f>
        <v>Jombor</v>
      </c>
      <c r="N33" s="234" t="str">
        <f t="array" ref="N33">IF(ISERROR(INDEX($T$1:$U$10,SMALL(IF($T$1:$T$10=$X$10,ROW($T$1:$T$10)),ROW(3:3)),2)),"",INDEX($T$1:$U$10,SMALL(IF($T$1:$T$10=$X$10,ROW($T$1:$T$10)),ROW(3:3)),2))</f>
        <v>Sudirman</v>
      </c>
      <c r="P33" s="234" t="str">
        <f t="array" ref="P33">IF(ISERROR(INDEX($AB$1:$AC$33,SMALL(IF($AB$1:$AB$33=$AF$10,ROW($AB$1:$AB$33)),ROW(3:3)),2)),"",INDEX($AB$1:$AC$33,SMALL(IF($AB$1:$AB$33=$AF$10,ROW($AB$1:$AB$33)),ROW(3:3)),2))</f>
        <v>Tempuran</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Sempor</v>
      </c>
      <c r="H34" s="234" t="str">
        <f t="array" ref="H34">IF(ISERROR(INDEX($AB$1:$AC$33,SMALL(IF($AB$1:$AB$33=$AF$4,ROW($AB$1:$AB$33)),ROW(4:4)),2)),"",INDEX($AB$1:$AC$33,SMALL(IF($AB$1:$AB$33=$AF$4,ROW($AB$1:$AB$33)),ROW(4:4)),2))</f>
        <v>Lalung</v>
      </c>
      <c r="J34" s="234" t="str">
        <f t="array" ref="J34">IF(ISERROR(INDEX($T$1:$U$10,SMALL(IF($T$1:$T$10=$X$7,ROW($T$1:$T$10)),ROW(4:4)),2)),"",INDEX($T$1:$U$10,SMALL(IF($T$1:$T$10=$X$7,ROW($T$1:$T$10)),ROW(4:4)),2))</f>
        <v/>
      </c>
      <c r="L34" s="234" t="str">
        <f t="array" ref="L34">IF(ISERROR(INDEX($AB$1:$AC$33,SMALL(IF($AB$1:$AB$33=$AF$7,ROW($AB$1:$AB$33)),ROW(4:4)),2)),"",INDEX($AB$1:$AC$33,SMALL(IF($AB$1:$AB$33=$AF$7,ROW($AB$1:$AB$33)),ROW(4:4)),2))</f>
        <v>Panohan</v>
      </c>
      <c r="N34" s="234" t="s">
        <v>337</v>
      </c>
      <c r="P34" s="234" t="str">
        <f t="array" ref="P34">IF(ISERROR(INDEX($AB$1:$AC$33,SMALL(IF($AB$1:$AB$33=$AF$10,ROW($AB$1:$AB$33)),ROW(4:4)),2)),"",INDEX($AB$1:$AC$33,SMALL(IF($AB$1:$AB$33=$AF$10,ROW($AB$1:$AB$33)),ROW(4:4)),2))</f>
        <v>Greneng</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Gebyar</v>
      </c>
      <c r="J35" s="234" t="str">
        <f t="array" ref="J35">IF(ISERROR(INDEX($T$1:$U$10,SMALL(IF($T$1:$T$10=$X$7,ROW($T$1:$T$10)),ROW(5:5)),2)),"",INDEX($T$1:$U$10,SMALL(IF($T$1:$T$10=$X$7,ROW($T$1:$T$10)),ROW(5:5)),2))</f>
        <v/>
      </c>
      <c r="L35" s="234" t="str">
        <f t="array" ref="L35">IF(ISERROR(INDEX($AB$1:$AC$33,SMALL(IF($AB$1:$AB$33=$AF$7,ROW($AB$1:$AB$33)),ROW(5:5)),2)),"",INDEX($AB$1:$AC$33,SMALL(IF($AB$1:$AB$33=$AF$7,ROW($AB$1:$AB$33)),ROW(5:5)),2))</f>
        <v/>
      </c>
      <c r="N35" s="234" t="s">
        <v>336</v>
      </c>
      <c r="P35" s="234" t="str">
        <f t="array" ref="P35">IF(ISERROR(INDEX($AB$1:$AC$33,SMALL(IF($AB$1:$AB$33=$AF$10,ROW($AB$1:$AB$33)),ROW(5:5)),2)),"",INDEX($AB$1:$AC$33,SMALL(IF($AB$1:$AB$33=$AF$10,ROW($AB$1:$AB$33)),ROW(5:5)),2))</f>
        <v>Lodanwetan</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Blimbing</v>
      </c>
      <c r="J36" s="234" t="str">
        <f t="array" ref="J36">IF(ISERROR(INDEX($T$1:$U$10,SMALL(IF($T$1:$T$10=$X$7,ROW($T$1:$T$10)),ROW(6:6)),2)),"",INDEX($T$1:$U$10,SMALL(IF($T$1:$T$10=$X$7,ROW($T$1:$T$10)),ROW(6:6)),2))</f>
        <v/>
      </c>
      <c r="L36" s="234" t="str">
        <f t="array" ref="L36">IF(ISERROR(INDEX($AB$1:$AC$33,SMALL(IF($AB$1:$AB$33=$AF$7,ROW($AB$1:$AB$33)),ROW(6:6)),2)),"",INDEX($AB$1:$AC$33,SMALL(IF($AB$1:$AB$33=$AF$7,ROW($AB$1:$AB$33)),ROW(6:6)),2))</f>
        <v/>
      </c>
      <c r="P36" s="234" t="str">
        <f t="array" ref="P36">IF(ISERROR(INDEX($AB$1:$AC$33,SMALL(IF($AB$1:$AB$33=$AF$10,ROW($AB$1:$AB$33)),ROW(6:6)),2)),"",INDEX($AB$1:$AC$33,SMALL(IF($AB$1:$AB$33=$AF$10,ROW($AB$1:$AB$33)),ROW(6:6)),2))</f>
        <v>Banyukuwung</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H37" s="234" t="s">
        <v>335</v>
      </c>
      <c r="J37" s="234" t="str">
        <f t="array" ref="J37">IF(ISERROR(INDEX($T$1:$U$10,SMALL(IF($T$1:$T$10=$X$7,ROW($T$1:$T$10)),ROW(7:7)),2)),"",INDEX($T$1:$U$10,SMALL(IF($T$1:$T$10=$X$7,ROW($T$1:$T$10)),ROW(7:7)),2))</f>
        <v/>
      </c>
      <c r="L37" s="234" t="str">
        <f t="array" ref="L37">IF(ISERROR(INDEX($AB$1:$AC$33,SMALL(IF($AB$1:$AB$33=$AF$7,ROW($AB$1:$AB$33)),ROW(7:7)),2)),"",INDEX($AB$1:$AC$33,SMALL(IF($AB$1:$AB$33=$AF$7,ROW($AB$1:$AB$33)),ROW(7:7)),2))</f>
        <v/>
      </c>
      <c r="P37" s="234" t="str">
        <f t="array" ref="P37">IF(ISERROR(INDEX($AB$1:$AC$33,SMALL(IF($AB$1:$AB$33=$AF$10,ROW($AB$1:$AB$33)),ROW(7:7)),2)),"",INDEX($AB$1:$AC$33,SMALL(IF($AB$1:$AB$33=$AF$10,ROW($AB$1:$AB$33)),ROW(7:7)),2))</f>
        <v>Nglangon</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J38" s="234" t="str">
        <f t="array" ref="J38">IF(ISERROR(INDEX($T$1:$U$10,SMALL(IF($T$1:$T$10=$X$7,ROW($T$1:$T$10)),ROW(8:8)),2)),"",INDEX($T$1:$U$10,SMALL(IF($T$1:$T$10=$X$7,ROW($T$1:$T$10)),ROW(8:8)),2))</f>
        <v/>
      </c>
      <c r="L38" s="234" t="str">
        <f t="array" ref="L38">IF(ISERROR(INDEX($AB$1:$AC$33,SMALL(IF($AB$1:$AB$33=$AF$7,ROW($AB$1:$AB$33)),ROW(8:8)),2)),"",INDEX($AB$1:$AC$33,SMALL(IF($AB$1:$AB$33=$AF$7,ROW($AB$1:$AB$33)),ROW(8:8)),2))</f>
        <v/>
      </c>
      <c r="N38" s="234" t="str">
        <f t="array" ref="N38">IF(ISERROR(INDEX($T$1:$U$10,SMALL(IF($T$1:$T$10=$X$10,ROW($T$1:$T$10)),ROW(8:8)),2)),"",INDEX($T$1:$U$10,SMALL(IF($T$1:$T$10=$X$10,ROW($T$1:$T$10)),ROW(8:8)),2))</f>
        <v/>
      </c>
      <c r="P38" s="234" t="str">
        <f t="array" ref="P38">IF(ISERROR(INDEX($AB$1:$AC$33,SMALL(IF($AB$1:$AB$33=$AF$10,ROW($AB$1:$AB$33)),ROW(8:8)),2)),"",INDEX($AB$1:$AC$33,SMALL(IF($AB$1:$AB$33=$AF$10,ROW($AB$1:$AB$33)),ROW(8:8)),2))</f>
        <v>Simo</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J39" s="234" t="str">
        <f t="array" ref="J39">IF(ISERROR(INDEX($T$1:$U$10,SMALL(IF($T$1:$T$10=$X$7,ROW($T$1:$T$10)),ROW(9:9)),2)),"",INDEX($T$1:$U$10,SMALL(IF($T$1:$T$10=$X$7,ROW($T$1:$T$10)),ROW(9:9)),2))</f>
        <v/>
      </c>
      <c r="L39" s="234" t="str">
        <f t="array" ref="L39">IF(ISERROR(INDEX($AB$1:$AC$33,SMALL(IF($AB$1:$AB$33=$AF$7,ROW($AB$1:$AB$33)),ROW(9:9)),2)),"",INDEX($AB$1:$AC$33,SMALL(IF($AB$1:$AB$33=$AF$7,ROW($AB$1:$AB$33)),ROW(9:9)),2))</f>
        <v/>
      </c>
      <c r="P39" s="234" t="str">
        <f t="array" ref="P39">IF(ISERROR(INDEX($AB$1:$AC$33,SMALL(IF($AB$1:$AB$33=$AF$10,ROW($AB$1:$AB$33)),ROW(9:9)),2)),"",INDEX($AB$1:$AC$33,SMALL(IF($AB$1:$AB$33=$AF$10,ROW($AB$1:$AB$33)),ROW(9:9)),2))</f>
        <v>Butak</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
      </c>
      <c r="J40" s="234" t="str">
        <f t="array" ref="J40">IF(ISERROR(INDEX($T$1:$U$10,SMALL(IF($T$1:$T$10=$X$7,ROW($T$1:$T$10)),ROW(10:10)),2)),"",INDEX($T$1:$U$10,SMALL(IF($T$1:$T$10=$X$7,ROW($T$1:$T$10)),ROW(10:10)),2))</f>
        <v/>
      </c>
      <c r="L40" s="234" t="str">
        <f t="array" ref="L40">IF(ISERROR(INDEX($AB$1:$AC$33,SMALL(IF($AB$1:$AB$33=$AF$7,ROW($AB$1:$AB$33)),ROW(10:10)),2)),"",INDEX($AB$1:$AC$33,SMALL(IF($AB$1:$AB$33=$AF$7,ROW($AB$1:$AB$33)),ROW(10:10)),2))</f>
        <v/>
      </c>
      <c r="P40" s="234" t="str">
        <f t="array" ref="P40">IF(ISERROR(INDEX($AB$1:$AC$33,SMALL(IF($AB$1:$AB$33=$AF$10,ROW($AB$1:$AB$33)),ROW(10:10)),2)),"",INDEX($AB$1:$AC$33,SMALL(IF($AB$1:$AB$33=$AF$10,ROW($AB$1:$AB$33)),ROW(10:10)),2))</f>
        <v>Sanggeh</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tr">
        <f t="array" ref="H41">IF(ISERROR(INDEX($AB$1:$AC$33,SMALL(IF($AB$1:$AB$33=$AF$4,ROW($AB$1:$AB$33)),ROW(11:11)),2)),"",INDEX($AB$1:$AC$33,SMALL(IF($AB$1:$AB$33=$AF$4,ROW($AB$1:$AB$33)),ROW(11:11)),2))</f>
        <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Krisak</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Kedunguling</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Nawangan</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Ngancar</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Delingan</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Kembangan</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Botok</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Ketro</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Brambang</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Klego</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Mulur</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Grawan</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Q54" s="284"/>
    </row>
    <row r="55" spans="2:35" x14ac:dyDescent="0.2">
      <c r="B55" s="287"/>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topLeftCell="A16"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8" t="s">
        <v>156</v>
      </c>
      <c r="C2" s="918"/>
      <c r="D2" s="918"/>
      <c r="E2" s="918"/>
      <c r="F2" s="918"/>
      <c r="G2" s="918"/>
      <c r="H2" s="918"/>
      <c r="I2" s="918"/>
      <c r="J2" s="918"/>
      <c r="K2" s="170"/>
    </row>
    <row r="3" spans="2:12" x14ac:dyDescent="0.2">
      <c r="B3" s="918" t="s">
        <v>252</v>
      </c>
      <c r="C3" s="918"/>
      <c r="D3" s="918"/>
      <c r="E3" s="918"/>
      <c r="F3" s="918"/>
      <c r="G3" s="918"/>
      <c r="H3" s="918"/>
      <c r="I3" s="918"/>
      <c r="J3" s="918"/>
      <c r="K3" s="170"/>
    </row>
    <row r="4" spans="2:12" x14ac:dyDescent="0.2">
      <c r="B4" s="919" t="str">
        <f>+UTAMA!B4</f>
        <v xml:space="preserve">MINGGU KE III JUNI ( 18 JUNI S/D 24 JUNI 2024 ) dalam Juta m3 </v>
      </c>
      <c r="C4" s="919"/>
      <c r="D4" s="919"/>
      <c r="E4" s="919"/>
      <c r="F4" s="919"/>
      <c r="G4" s="919"/>
      <c r="H4" s="919"/>
      <c r="I4" s="919"/>
      <c r="J4" s="919"/>
      <c r="K4" s="171"/>
    </row>
    <row r="5" spans="2:12" ht="13.5" thickBot="1" x14ac:dyDescent="0.25">
      <c r="B5" s="169"/>
      <c r="C5" s="169"/>
      <c r="D5" s="169"/>
      <c r="E5" s="169"/>
      <c r="F5" s="169"/>
      <c r="G5" s="169"/>
      <c r="H5" s="169"/>
      <c r="I5" s="169"/>
      <c r="J5" s="169"/>
      <c r="K5" s="169"/>
    </row>
    <row r="6" spans="2:12" ht="14.25" x14ac:dyDescent="0.2">
      <c r="B6" s="924" t="s">
        <v>18</v>
      </c>
      <c r="C6" s="922" t="s">
        <v>270</v>
      </c>
      <c r="D6" s="920" t="s">
        <v>92</v>
      </c>
      <c r="E6" s="205" t="s">
        <v>25</v>
      </c>
      <c r="F6" s="928" t="s">
        <v>93</v>
      </c>
      <c r="G6" s="929"/>
      <c r="H6" s="926" t="s">
        <v>157</v>
      </c>
      <c r="I6" s="927"/>
      <c r="J6" s="559" t="s">
        <v>69</v>
      </c>
      <c r="K6" s="203" t="s">
        <v>125</v>
      </c>
    </row>
    <row r="7" spans="2:12" x14ac:dyDescent="0.2">
      <c r="B7" s="925"/>
      <c r="C7" s="923"/>
      <c r="D7" s="92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54.5</v>
      </c>
      <c r="G9" s="568">
        <f>+UTAMA!I11</f>
        <v>53.4</v>
      </c>
      <c r="H9" s="569">
        <f>+UTAMA!H11</f>
        <v>24.076000000000001</v>
      </c>
      <c r="I9" s="569">
        <f>+UTAMA!J11</f>
        <v>18.741</v>
      </c>
      <c r="J9" s="175">
        <f>IFERROR(+I9/H9*100%*100,0)</f>
        <v>77.841003488951657</v>
      </c>
      <c r="K9" s="176"/>
    </row>
    <row r="10" spans="2:12" ht="15" customHeight="1" x14ac:dyDescent="0.2">
      <c r="B10" s="563">
        <f t="shared" ref="B10:B19" si="0">+B9+1</f>
        <v>2</v>
      </c>
      <c r="C10" s="565" t="s">
        <v>30</v>
      </c>
      <c r="D10" s="566">
        <v>17481</v>
      </c>
      <c r="E10" s="567">
        <f>UTAMA!F13</f>
        <v>45.13</v>
      </c>
      <c r="F10" s="567">
        <f>+UTAMA!G13</f>
        <v>73.23</v>
      </c>
      <c r="G10" s="570">
        <f>+UTAMA!I13</f>
        <v>75.150000000000006</v>
      </c>
      <c r="H10" s="571">
        <f>+UTAMA!H13</f>
        <v>25.376999999999999</v>
      </c>
      <c r="I10" s="572">
        <f>+UTAMA!J13</f>
        <v>35.057000000000002</v>
      </c>
      <c r="J10" s="175">
        <f>IFERROR(+I10/H10*100%*100,0)</f>
        <v>138.14477676636326</v>
      </c>
      <c r="K10" s="176"/>
    </row>
    <row r="11" spans="2:12" ht="15" customHeight="1" x14ac:dyDescent="0.2">
      <c r="B11" s="563">
        <f t="shared" si="0"/>
        <v>3</v>
      </c>
      <c r="C11" s="565" t="s">
        <v>31</v>
      </c>
      <c r="D11" s="566">
        <v>19972</v>
      </c>
      <c r="E11" s="567">
        <f>UTAMA!F14</f>
        <v>49.9</v>
      </c>
      <c r="F11" s="567">
        <f>+UTAMA!G14</f>
        <v>461.3</v>
      </c>
      <c r="G11" s="570">
        <f>+UTAMA!I14</f>
        <v>460.89</v>
      </c>
      <c r="H11" s="571">
        <f>+UTAMA!H14</f>
        <v>19.064</v>
      </c>
      <c r="I11" s="572">
        <f>+UTAMA!J14</f>
        <v>14.458</v>
      </c>
      <c r="J11" s="175">
        <f t="shared" ref="J11:J19" si="1">IFERROR(+I11/H11*100%*100,0)</f>
        <v>75.839278220730179</v>
      </c>
      <c r="K11" s="176"/>
      <c r="L11" s="393"/>
    </row>
    <row r="12" spans="2:12" ht="15" customHeight="1" x14ac:dyDescent="0.2">
      <c r="B12" s="563">
        <f t="shared" si="0"/>
        <v>4</v>
      </c>
      <c r="C12" s="565" t="s">
        <v>34</v>
      </c>
      <c r="D12" s="566">
        <v>59544</v>
      </c>
      <c r="E12" s="567">
        <v>689.09</v>
      </c>
      <c r="F12" s="567">
        <f>+UTAMA!G17</f>
        <v>81.12</v>
      </c>
      <c r="G12" s="567">
        <f>+UTAMA!I17</f>
        <v>81.77</v>
      </c>
      <c r="H12" s="571">
        <f>+UTAMA!H17</f>
        <v>330.346</v>
      </c>
      <c r="I12" s="571">
        <f>UTAMA!J17</f>
        <v>350.46300000000002</v>
      </c>
      <c r="J12" s="175">
        <f>IFERROR(+I12/H12*100%*100,0)</f>
        <v>106.08967567338487</v>
      </c>
      <c r="K12" s="177"/>
    </row>
    <row r="13" spans="2:12" ht="15" customHeight="1" x14ac:dyDescent="0.2">
      <c r="B13" s="563">
        <f t="shared" si="0"/>
        <v>5</v>
      </c>
      <c r="C13" s="565" t="s">
        <v>44</v>
      </c>
      <c r="D13" s="566">
        <v>28109</v>
      </c>
      <c r="E13" s="667">
        <f>UTAMA!F27</f>
        <v>398.69</v>
      </c>
      <c r="F13" s="567">
        <f>+UTAMA!G27</f>
        <v>134.4</v>
      </c>
      <c r="G13" s="570">
        <f>+UTAMA!I27</f>
        <v>132.63</v>
      </c>
      <c r="H13" s="569">
        <f>+UTAMA!H27</f>
        <v>281.11</v>
      </c>
      <c r="I13" s="569">
        <f>+UTAMA!J27</f>
        <v>200.58199999999999</v>
      </c>
      <c r="J13" s="175">
        <f t="shared" si="1"/>
        <v>71.353562662303005</v>
      </c>
      <c r="K13" s="177"/>
    </row>
    <row r="14" spans="2:12" ht="15" customHeight="1" x14ac:dyDescent="0.2">
      <c r="B14" s="563">
        <f t="shared" si="0"/>
        <v>6</v>
      </c>
      <c r="C14" s="565" t="s">
        <v>64</v>
      </c>
      <c r="D14" s="566">
        <v>6485</v>
      </c>
      <c r="E14" s="567">
        <f>UTAMA!F49</f>
        <v>38.036000000000001</v>
      </c>
      <c r="F14" s="567">
        <f>+UTAMA!G49</f>
        <v>62.35</v>
      </c>
      <c r="G14" s="570">
        <f>+UTAMA!I49</f>
        <v>59</v>
      </c>
      <c r="H14" s="571">
        <f>+UTAMA!H49</f>
        <v>16.670000000000002</v>
      </c>
      <c r="I14" s="572">
        <f>+UTAMA!J49</f>
        <v>11.83</v>
      </c>
      <c r="J14" s="175">
        <f>IFERROR(+I14/H14*100%*100,0)</f>
        <v>70.965806838632261</v>
      </c>
      <c r="K14" s="177"/>
    </row>
    <row r="15" spans="2:12" ht="15" customHeight="1" x14ac:dyDescent="0.2">
      <c r="B15" s="563">
        <f t="shared" si="0"/>
        <v>7</v>
      </c>
      <c r="C15" s="565" t="s">
        <v>65</v>
      </c>
      <c r="D15" s="566">
        <v>31109</v>
      </c>
      <c r="E15" s="567">
        <f>UTAMA!F50</f>
        <v>388.72199999999998</v>
      </c>
      <c r="F15" s="567">
        <f>+UTAMA!G50</f>
        <v>163.02000000000001</v>
      </c>
      <c r="G15" s="570">
        <f>+UTAMA!I50</f>
        <v>159.72</v>
      </c>
      <c r="H15" s="571">
        <f>+UTAMA!H50</f>
        <v>183.93</v>
      </c>
      <c r="I15" s="572">
        <f>+UTAMA!J50</f>
        <v>158.03</v>
      </c>
      <c r="J15" s="175">
        <f t="shared" si="1"/>
        <v>85.918555972380801</v>
      </c>
      <c r="K15" s="177"/>
    </row>
    <row r="16" spans="2:12" ht="15" customHeight="1" x14ac:dyDescent="0.2">
      <c r="B16" s="563">
        <f t="shared" si="0"/>
        <v>8</v>
      </c>
      <c r="C16" s="565" t="s">
        <v>66</v>
      </c>
      <c r="D16" s="566">
        <v>8400</v>
      </c>
      <c r="E16" s="567">
        <f>UTAMA!F51</f>
        <v>23.24</v>
      </c>
      <c r="F16" s="567">
        <f>+UTAMA!G51</f>
        <v>229.68</v>
      </c>
      <c r="G16" s="570">
        <f>+UTAMA!I51</f>
        <v>229.74</v>
      </c>
      <c r="H16" s="571">
        <f>+UTAMA!H51</f>
        <v>8.7680000000000007</v>
      </c>
      <c r="I16" s="572">
        <f>+UTAMA!J51</f>
        <v>9.0860000000000003</v>
      </c>
      <c r="J16" s="175">
        <f>IFERROR(+I16/H16*100%*100,0)</f>
        <v>103.62682481751824</v>
      </c>
      <c r="K16" s="177"/>
      <c r="L16" s="393"/>
    </row>
    <row r="17" spans="2:12" ht="15" customHeight="1" x14ac:dyDescent="0.2">
      <c r="B17" s="563">
        <f t="shared" si="0"/>
        <v>9</v>
      </c>
      <c r="C17" s="565" t="s">
        <v>336</v>
      </c>
      <c r="D17" s="566">
        <v>1500</v>
      </c>
      <c r="E17" s="800">
        <f>UTAMA!F28</f>
        <v>25</v>
      </c>
      <c r="F17" s="567">
        <f>UTAMA!G28</f>
        <v>183.22</v>
      </c>
      <c r="G17" s="570">
        <f>UTAMA!I28</f>
        <v>183.6</v>
      </c>
      <c r="H17" s="571">
        <f>UTAMA!H28</f>
        <v>21.606999999999999</v>
      </c>
      <c r="I17" s="572">
        <f>UTAMA!J28</f>
        <v>22.344000000000001</v>
      </c>
      <c r="J17" s="175">
        <f>IFERROR(+I17/H17*100%*100,0)</f>
        <v>103.41093164252327</v>
      </c>
      <c r="K17" s="177"/>
      <c r="L17" s="393"/>
    </row>
    <row r="18" spans="2:12" ht="15" customHeight="1" x14ac:dyDescent="0.2">
      <c r="B18" s="563">
        <f t="shared" si="0"/>
        <v>10</v>
      </c>
      <c r="C18" s="565" t="s">
        <v>337</v>
      </c>
      <c r="D18" s="566">
        <v>5296</v>
      </c>
      <c r="E18" s="800">
        <f>UTAMA!F343</f>
        <v>20.149999999999999</v>
      </c>
      <c r="F18" s="567">
        <f>UTAMA!G18</f>
        <v>86.34</v>
      </c>
      <c r="G18" s="570">
        <f>UTAMA!I18</f>
        <v>88.01</v>
      </c>
      <c r="H18" s="571">
        <f>UTAMA!H18</f>
        <v>16.852</v>
      </c>
      <c r="I18" s="572">
        <f>UTAMA!J18</f>
        <v>18.827999999999999</v>
      </c>
      <c r="J18" s="175">
        <f t="shared" ref="J18" si="2">IFERROR(+I18/H18*100%*100,0)</f>
        <v>111.725611203418</v>
      </c>
      <c r="K18" s="177"/>
      <c r="L18" s="393"/>
    </row>
    <row r="19" spans="2:12" ht="15" customHeight="1" x14ac:dyDescent="0.2">
      <c r="B19" s="563">
        <f t="shared" si="0"/>
        <v>11</v>
      </c>
      <c r="C19" s="565" t="s">
        <v>217</v>
      </c>
      <c r="D19" s="566">
        <v>0</v>
      </c>
      <c r="E19" s="421">
        <f>UTAMA!F52</f>
        <v>17.670000000000002</v>
      </c>
      <c r="F19" s="567">
        <f>+UTAMA!G52</f>
        <v>149.25</v>
      </c>
      <c r="G19" s="570">
        <f>+UTAMA!I52</f>
        <v>148.59</v>
      </c>
      <c r="H19" s="571">
        <f>+UTAMA!H52</f>
        <v>15.36</v>
      </c>
      <c r="I19" s="572">
        <f>+UTAMA!J52</f>
        <v>14.8</v>
      </c>
      <c r="J19" s="175">
        <f t="shared" si="1"/>
        <v>96.354166666666671</v>
      </c>
      <c r="K19" s="177"/>
    </row>
    <row r="20" spans="2:12" ht="15" customHeight="1" thickBot="1" x14ac:dyDescent="0.25">
      <c r="B20" s="573"/>
      <c r="C20" s="574" t="s">
        <v>89</v>
      </c>
      <c r="D20" s="575">
        <f>SUM(D9:D16)</f>
        <v>206262</v>
      </c>
      <c r="E20" s="576">
        <f>SUM(E9:E19)</f>
        <v>1726.7725980000002</v>
      </c>
      <c r="F20" s="576"/>
      <c r="G20" s="575"/>
      <c r="H20" s="577">
        <f>SUM(H9:H19)</f>
        <v>943.15999999999985</v>
      </c>
      <c r="I20" s="577">
        <f>SUM(I9:I19)</f>
        <v>854.21900000000005</v>
      </c>
      <c r="J20" s="578">
        <f>I20/H20*100</f>
        <v>90.569892701132375</v>
      </c>
      <c r="K20" s="419"/>
    </row>
    <row r="21" spans="2:12" ht="15" customHeight="1" thickBot="1" x14ac:dyDescent="0.25">
      <c r="B21" s="579"/>
      <c r="C21" s="580" t="s">
        <v>69</v>
      </c>
      <c r="D21" s="580"/>
      <c r="E21" s="581"/>
      <c r="F21" s="582"/>
      <c r="G21" s="583"/>
      <c r="H21" s="584" t="s">
        <v>95</v>
      </c>
      <c r="I21" s="585">
        <f>+I20/H20*100%</f>
        <v>0.90569892701132382</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5</v>
      </c>
      <c r="K24" s="171"/>
    </row>
    <row r="25" spans="2:12" ht="15" customHeight="1" x14ac:dyDescent="0.2">
      <c r="B25" s="586"/>
      <c r="C25" s="586" t="s">
        <v>100</v>
      </c>
      <c r="D25" s="588" t="s">
        <v>98</v>
      </c>
      <c r="E25" s="588"/>
      <c r="F25" s="586" t="s">
        <v>101</v>
      </c>
      <c r="G25" s="586"/>
      <c r="H25" s="586"/>
      <c r="I25" s="170" t="s">
        <v>177</v>
      </c>
      <c r="J25" s="590">
        <f>COUNTIFS(J9:J19,"&gt;=85",J9:J19,"&lt;=100")</f>
        <v>2</v>
      </c>
      <c r="K25" s="171"/>
    </row>
    <row r="26" spans="2:12" ht="15" customHeight="1" x14ac:dyDescent="0.2">
      <c r="B26" s="586"/>
      <c r="C26" s="586" t="s">
        <v>102</v>
      </c>
      <c r="D26" s="588" t="s">
        <v>98</v>
      </c>
      <c r="E26" s="588"/>
      <c r="F26" s="586" t="s">
        <v>103</v>
      </c>
      <c r="G26" s="586"/>
      <c r="H26" s="586"/>
      <c r="I26" s="170" t="s">
        <v>177</v>
      </c>
      <c r="J26" s="591">
        <f>COUNTIFS(J9:J19,"&gt;0",J9:J19,"&lt;85")</f>
        <v>4</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18" t="s">
        <v>89</v>
      </c>
      <c r="H28" s="918"/>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32" priority="1" stopIfTrue="1" operator="between">
      <formula>85</formula>
      <formula>100</formula>
    </cfRule>
    <cfRule type="cellIs" dxfId="31" priority="3" stopIfTrue="1" operator="lessThan">
      <formula>85</formula>
    </cfRule>
    <cfRule type="cellIs" dxfId="30" priority="4" stopIfTrue="1" operator="greaterThan">
      <formula>85</formula>
    </cfRule>
    <cfRule type="cellIs" dxfId="29"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0"/>
  <sheetViews>
    <sheetView showGridLines="0" zoomScale="90" zoomScaleNormal="90" workbookViewId="0">
      <selection activeCell="A5" sqref="A5:J27"/>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8" t="s">
        <v>156</v>
      </c>
      <c r="C2" s="918"/>
      <c r="D2" s="918"/>
      <c r="E2" s="918"/>
      <c r="F2" s="918"/>
      <c r="G2" s="918"/>
      <c r="H2" s="918"/>
      <c r="I2" s="918"/>
      <c r="J2" s="918"/>
      <c r="K2" s="170"/>
    </row>
    <row r="3" spans="2:12" x14ac:dyDescent="0.2">
      <c r="B3" s="918" t="s">
        <v>252</v>
      </c>
      <c r="C3" s="918"/>
      <c r="D3" s="918"/>
      <c r="E3" s="918"/>
      <c r="F3" s="918"/>
      <c r="G3" s="918"/>
      <c r="H3" s="918"/>
      <c r="I3" s="918"/>
      <c r="J3" s="918"/>
      <c r="K3" s="170"/>
    </row>
    <row r="4" spans="2:12" x14ac:dyDescent="0.2">
      <c r="B4" s="919" t="str">
        <f>+UTAMA!B4</f>
        <v xml:space="preserve">MINGGU KE III JUNI ( 18 JUNI S/D 24 JUNI 2024 ) dalam Juta m3 </v>
      </c>
      <c r="C4" s="919"/>
      <c r="D4" s="919"/>
      <c r="E4" s="919"/>
      <c r="F4" s="919"/>
      <c r="G4" s="919"/>
      <c r="H4" s="919"/>
      <c r="I4" s="919"/>
      <c r="J4" s="919"/>
      <c r="K4" s="171"/>
    </row>
    <row r="5" spans="2:12" ht="13.5" thickBot="1" x14ac:dyDescent="0.25">
      <c r="B5" s="169"/>
      <c r="C5" s="169"/>
      <c r="D5" s="169"/>
      <c r="E5" s="169"/>
      <c r="F5" s="169"/>
      <c r="G5" s="169"/>
      <c r="H5" s="169"/>
      <c r="I5" s="169"/>
      <c r="J5" s="169"/>
      <c r="K5" s="169"/>
    </row>
    <row r="6" spans="2:12" ht="14.25" x14ac:dyDescent="0.2">
      <c r="B6" s="924" t="s">
        <v>18</v>
      </c>
      <c r="C6" s="922" t="s">
        <v>270</v>
      </c>
      <c r="D6" s="920" t="s">
        <v>92</v>
      </c>
      <c r="E6" s="205" t="s">
        <v>25</v>
      </c>
      <c r="F6" s="928" t="s">
        <v>93</v>
      </c>
      <c r="G6" s="929"/>
      <c r="H6" s="926" t="s">
        <v>157</v>
      </c>
      <c r="I6" s="927"/>
      <c r="J6" s="559" t="s">
        <v>69</v>
      </c>
      <c r="K6" s="203" t="s">
        <v>125</v>
      </c>
    </row>
    <row r="7" spans="2:12" x14ac:dyDescent="0.2">
      <c r="B7" s="925"/>
      <c r="C7" s="923"/>
      <c r="D7" s="92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54.5</v>
      </c>
      <c r="G9" s="568">
        <f>+UTAMA!I11</f>
        <v>53.4</v>
      </c>
      <c r="H9" s="569">
        <f>+UTAMA!H11</f>
        <v>24.076000000000001</v>
      </c>
      <c r="I9" s="569">
        <f>+UTAMA!J11</f>
        <v>18.741</v>
      </c>
      <c r="J9" s="175">
        <f>IFERROR(+I9/H9*100%*100,0)</f>
        <v>77.841003488951657</v>
      </c>
      <c r="K9" s="176"/>
    </row>
    <row r="10" spans="2:12" ht="15" customHeight="1" x14ac:dyDescent="0.2">
      <c r="B10" s="563">
        <f t="shared" ref="B10:B18" si="0">+B9+1</f>
        <v>2</v>
      </c>
      <c r="C10" s="565" t="s">
        <v>30</v>
      </c>
      <c r="D10" s="566">
        <v>17481</v>
      </c>
      <c r="E10" s="567">
        <f>UTAMA!F13</f>
        <v>45.13</v>
      </c>
      <c r="F10" s="567">
        <f>+UTAMA!G13</f>
        <v>73.23</v>
      </c>
      <c r="G10" s="570">
        <f>+UTAMA!I13</f>
        <v>75.150000000000006</v>
      </c>
      <c r="H10" s="571">
        <f>+UTAMA!H13</f>
        <v>25.376999999999999</v>
      </c>
      <c r="I10" s="572">
        <f>+UTAMA!J13</f>
        <v>35.057000000000002</v>
      </c>
      <c r="J10" s="175">
        <f>IFERROR(+I10/H10*100%*100,0)</f>
        <v>138.14477676636326</v>
      </c>
      <c r="K10" s="176"/>
    </row>
    <row r="11" spans="2:12" ht="15" customHeight="1" x14ac:dyDescent="0.2">
      <c r="B11" s="563">
        <f t="shared" si="0"/>
        <v>3</v>
      </c>
      <c r="C11" s="565" t="s">
        <v>31</v>
      </c>
      <c r="D11" s="566">
        <v>19972</v>
      </c>
      <c r="E11" s="567">
        <f>UTAMA!F14</f>
        <v>49.9</v>
      </c>
      <c r="F11" s="567">
        <f>+UTAMA!G14</f>
        <v>461.3</v>
      </c>
      <c r="G11" s="570">
        <f>+UTAMA!I14</f>
        <v>460.89</v>
      </c>
      <c r="H11" s="571">
        <f>+UTAMA!H14</f>
        <v>19.064</v>
      </c>
      <c r="I11" s="572">
        <f>+UTAMA!J14</f>
        <v>14.458</v>
      </c>
      <c r="J11" s="175">
        <f t="shared" ref="J11:J15" si="1">IFERROR(+I11/H11*100%*100,0)</f>
        <v>75.839278220730179</v>
      </c>
      <c r="K11" s="176"/>
      <c r="L11" s="393"/>
    </row>
    <row r="12" spans="2:12" ht="15" customHeight="1" x14ac:dyDescent="0.2">
      <c r="B12" s="563">
        <f t="shared" si="0"/>
        <v>4</v>
      </c>
      <c r="C12" s="565" t="s">
        <v>34</v>
      </c>
      <c r="D12" s="566">
        <v>59544</v>
      </c>
      <c r="E12" s="567">
        <v>689.09</v>
      </c>
      <c r="F12" s="567">
        <f>+UTAMA!G17</f>
        <v>81.12</v>
      </c>
      <c r="G12" s="567">
        <f>+UTAMA!I17</f>
        <v>81.77</v>
      </c>
      <c r="H12" s="571">
        <f>+UTAMA!H17</f>
        <v>330.346</v>
      </c>
      <c r="I12" s="571">
        <f>UTAMA!J17</f>
        <v>350.46300000000002</v>
      </c>
      <c r="J12" s="175">
        <f>IFERROR(+I12/H12*100%*100,0)</f>
        <v>106.08967567338487</v>
      </c>
      <c r="K12" s="177"/>
    </row>
    <row r="13" spans="2:12" ht="15" customHeight="1" x14ac:dyDescent="0.2">
      <c r="B13" s="563">
        <f t="shared" si="0"/>
        <v>5</v>
      </c>
      <c r="C13" s="565" t="s">
        <v>44</v>
      </c>
      <c r="D13" s="566">
        <v>28109</v>
      </c>
      <c r="E13" s="667">
        <f>UTAMA!F27</f>
        <v>398.69</v>
      </c>
      <c r="F13" s="567">
        <f>+UTAMA!G27</f>
        <v>134.4</v>
      </c>
      <c r="G13" s="570">
        <f>+UTAMA!I27</f>
        <v>132.63</v>
      </c>
      <c r="H13" s="569">
        <f>+UTAMA!H27</f>
        <v>281.11</v>
      </c>
      <c r="I13" s="569">
        <f>+UTAMA!J27</f>
        <v>200.58199999999999</v>
      </c>
      <c r="J13" s="175">
        <f t="shared" si="1"/>
        <v>71.353562662303005</v>
      </c>
      <c r="K13" s="177"/>
    </row>
    <row r="14" spans="2:12" ht="15" customHeight="1" x14ac:dyDescent="0.2">
      <c r="B14" s="563">
        <f t="shared" si="0"/>
        <v>6</v>
      </c>
      <c r="C14" s="565" t="s">
        <v>64</v>
      </c>
      <c r="D14" s="566">
        <v>6485</v>
      </c>
      <c r="E14" s="567">
        <f>UTAMA!F49</f>
        <v>38.036000000000001</v>
      </c>
      <c r="F14" s="567">
        <f>+UTAMA!G49</f>
        <v>62.35</v>
      </c>
      <c r="G14" s="570">
        <f>+UTAMA!I49</f>
        <v>59</v>
      </c>
      <c r="H14" s="571">
        <f>+UTAMA!H49</f>
        <v>16.670000000000002</v>
      </c>
      <c r="I14" s="572">
        <f>+UTAMA!J49</f>
        <v>11.83</v>
      </c>
      <c r="J14" s="175">
        <f>IFERROR(+I14/H14*100%*100,0)</f>
        <v>70.965806838632261</v>
      </c>
      <c r="K14" s="177"/>
    </row>
    <row r="15" spans="2:12" ht="15" customHeight="1" x14ac:dyDescent="0.2">
      <c r="B15" s="563">
        <f t="shared" si="0"/>
        <v>7</v>
      </c>
      <c r="C15" s="565" t="s">
        <v>65</v>
      </c>
      <c r="D15" s="566">
        <v>31109</v>
      </c>
      <c r="E15" s="567">
        <f>UTAMA!F50</f>
        <v>388.72199999999998</v>
      </c>
      <c r="F15" s="567">
        <f>+UTAMA!G50</f>
        <v>163.02000000000001</v>
      </c>
      <c r="G15" s="570">
        <f>+UTAMA!I50</f>
        <v>159.72</v>
      </c>
      <c r="H15" s="571">
        <f>+UTAMA!H50</f>
        <v>183.93</v>
      </c>
      <c r="I15" s="572">
        <f>+UTAMA!J50</f>
        <v>158.03</v>
      </c>
      <c r="J15" s="175">
        <f t="shared" si="1"/>
        <v>85.918555972380801</v>
      </c>
      <c r="K15" s="177"/>
    </row>
    <row r="16" spans="2:12" ht="15" customHeight="1" x14ac:dyDescent="0.2">
      <c r="B16" s="563">
        <f t="shared" si="0"/>
        <v>8</v>
      </c>
      <c r="C16" s="565" t="s">
        <v>66</v>
      </c>
      <c r="D16" s="566">
        <v>8400</v>
      </c>
      <c r="E16" s="567">
        <f>UTAMA!F51</f>
        <v>23.24</v>
      </c>
      <c r="F16" s="567">
        <f>+UTAMA!G51</f>
        <v>229.68</v>
      </c>
      <c r="G16" s="570">
        <f>+UTAMA!I51</f>
        <v>229.74</v>
      </c>
      <c r="H16" s="571">
        <f>+UTAMA!H51</f>
        <v>8.7680000000000007</v>
      </c>
      <c r="I16" s="572">
        <f>+UTAMA!J51</f>
        <v>9.0860000000000003</v>
      </c>
      <c r="J16" s="175">
        <f>IFERROR(+I16/H16*100%*100,0)</f>
        <v>103.62682481751824</v>
      </c>
      <c r="K16" s="177"/>
      <c r="L16" s="393"/>
    </row>
    <row r="17" spans="2:12" ht="15" customHeight="1" x14ac:dyDescent="0.2">
      <c r="B17" s="563">
        <f t="shared" si="0"/>
        <v>9</v>
      </c>
      <c r="C17" s="565" t="s">
        <v>336</v>
      </c>
      <c r="D17" s="566">
        <v>1500</v>
      </c>
      <c r="E17" s="800">
        <f>UTAMA!F28</f>
        <v>25</v>
      </c>
      <c r="F17" s="567">
        <f>UTAMA!G28</f>
        <v>183.22</v>
      </c>
      <c r="G17" s="570">
        <f>UTAMA!I28</f>
        <v>183.6</v>
      </c>
      <c r="H17" s="571">
        <f>UTAMA!H28</f>
        <v>21.606999999999999</v>
      </c>
      <c r="I17" s="572">
        <f>UTAMA!J28</f>
        <v>22.344000000000001</v>
      </c>
      <c r="J17" s="175">
        <f>IFERROR(+I17/H17*100%*100,0)</f>
        <v>103.41093164252327</v>
      </c>
      <c r="K17" s="177"/>
      <c r="L17" s="393"/>
    </row>
    <row r="18" spans="2:12" ht="15" customHeight="1" x14ac:dyDescent="0.2">
      <c r="B18" s="563">
        <f t="shared" si="0"/>
        <v>10</v>
      </c>
      <c r="C18" s="565" t="s">
        <v>337</v>
      </c>
      <c r="D18" s="566">
        <v>5296</v>
      </c>
      <c r="E18" s="800">
        <f>UTAMA!F343</f>
        <v>20.149999999999999</v>
      </c>
      <c r="F18" s="567">
        <f>UTAMA!G18</f>
        <v>86.34</v>
      </c>
      <c r="G18" s="570">
        <f>UTAMA!I18</f>
        <v>88.01</v>
      </c>
      <c r="H18" s="571">
        <f>UTAMA!H18</f>
        <v>16.852</v>
      </c>
      <c r="I18" s="572">
        <f>UTAMA!J18</f>
        <v>18.827999999999999</v>
      </c>
      <c r="J18" s="175">
        <f t="shared" ref="J18" si="2">IFERROR(+I18/H18*100%*100,0)</f>
        <v>111.725611203418</v>
      </c>
      <c r="K18" s="177"/>
      <c r="L18" s="393"/>
    </row>
    <row r="19" spans="2:12" ht="15" customHeight="1" thickBot="1" x14ac:dyDescent="0.25">
      <c r="B19" s="573"/>
      <c r="C19" s="574" t="s">
        <v>89</v>
      </c>
      <c r="D19" s="575">
        <f>SUM(D9:D16)</f>
        <v>206262</v>
      </c>
      <c r="E19" s="576">
        <f>SUM(E9:E18)</f>
        <v>1709.1025980000002</v>
      </c>
      <c r="F19" s="576"/>
      <c r="G19" s="575"/>
      <c r="H19" s="577">
        <f>SUM(H9:H18)</f>
        <v>927.79999999999984</v>
      </c>
      <c r="I19" s="577">
        <f>SUM(I9:I18)</f>
        <v>839.4190000000001</v>
      </c>
      <c r="J19" s="578">
        <f>I19/H19*100</f>
        <v>90.474132356111255</v>
      </c>
      <c r="K19" s="419"/>
    </row>
    <row r="20" spans="2:12" ht="15" customHeight="1" thickBot="1" x14ac:dyDescent="0.25">
      <c r="B20" s="579"/>
      <c r="C20" s="580" t="s">
        <v>69</v>
      </c>
      <c r="D20" s="580"/>
      <c r="E20" s="581"/>
      <c r="F20" s="582"/>
      <c r="G20" s="583"/>
      <c r="H20" s="584" t="s">
        <v>95</v>
      </c>
      <c r="I20" s="585">
        <f>+I19/H19*100%</f>
        <v>0.90474132356111259</v>
      </c>
      <c r="J20" s="585"/>
      <c r="K20" s="420"/>
    </row>
    <row r="21" spans="2:12" x14ac:dyDescent="0.2">
      <c r="B21" s="586"/>
      <c r="C21" s="587" t="s">
        <v>90</v>
      </c>
      <c r="D21" s="587"/>
      <c r="E21" s="587"/>
      <c r="F21" s="586"/>
      <c r="G21" s="586"/>
      <c r="H21" s="586"/>
      <c r="I21" s="586"/>
      <c r="J21" s="586"/>
      <c r="K21" s="169"/>
    </row>
    <row r="22" spans="2:12" ht="15" customHeight="1" x14ac:dyDescent="0.2">
      <c r="B22" s="586"/>
      <c r="C22" s="586" t="s">
        <v>91</v>
      </c>
      <c r="D22" s="586"/>
      <c r="E22" s="586"/>
      <c r="F22" s="586"/>
      <c r="G22" s="586"/>
      <c r="H22" s="586"/>
      <c r="I22" s="586"/>
      <c r="J22" s="586" t="s">
        <v>96</v>
      </c>
      <c r="K22" s="169"/>
    </row>
    <row r="23" spans="2:12" ht="15" customHeight="1" x14ac:dyDescent="0.2">
      <c r="B23" s="586"/>
      <c r="C23" s="586" t="s">
        <v>97</v>
      </c>
      <c r="D23" s="588" t="s">
        <v>98</v>
      </c>
      <c r="E23" s="588"/>
      <c r="F23" s="586" t="s">
        <v>99</v>
      </c>
      <c r="G23" s="586"/>
      <c r="H23" s="586"/>
      <c r="I23" s="170" t="s">
        <v>177</v>
      </c>
      <c r="J23" s="589">
        <f>COUNTIF(J9:J18,"&gt;100")</f>
        <v>5</v>
      </c>
      <c r="K23" s="171"/>
    </row>
    <row r="24" spans="2:12" ht="15" customHeight="1" x14ac:dyDescent="0.2">
      <c r="B24" s="586"/>
      <c r="C24" s="586" t="s">
        <v>100</v>
      </c>
      <c r="D24" s="588" t="s">
        <v>98</v>
      </c>
      <c r="E24" s="588"/>
      <c r="F24" s="586" t="s">
        <v>101</v>
      </c>
      <c r="G24" s="586"/>
      <c r="H24" s="586"/>
      <c r="I24" s="170" t="s">
        <v>177</v>
      </c>
      <c r="J24" s="590">
        <f>COUNTIFS(J9:J18,"&gt;=85",J9:J18,"&lt;=100")</f>
        <v>1</v>
      </c>
      <c r="K24" s="171"/>
    </row>
    <row r="25" spans="2:12" ht="15" customHeight="1" x14ac:dyDescent="0.2">
      <c r="B25" s="586"/>
      <c r="C25" s="586" t="s">
        <v>102</v>
      </c>
      <c r="D25" s="588" t="s">
        <v>98</v>
      </c>
      <c r="E25" s="588"/>
      <c r="F25" s="586" t="s">
        <v>103</v>
      </c>
      <c r="G25" s="586"/>
      <c r="H25" s="586"/>
      <c r="I25" s="170" t="s">
        <v>177</v>
      </c>
      <c r="J25" s="591">
        <f>COUNTIFS(J9:J18,"&gt;0",J9:J18,"&lt;85")</f>
        <v>4</v>
      </c>
      <c r="K25" s="171"/>
    </row>
    <row r="26" spans="2:12" ht="15" customHeight="1" thickBot="1" x14ac:dyDescent="0.25">
      <c r="B26" s="586"/>
      <c r="C26" s="592">
        <v>0</v>
      </c>
      <c r="D26" s="588" t="s">
        <v>98</v>
      </c>
      <c r="E26" s="588"/>
      <c r="F26" s="586" t="s">
        <v>104</v>
      </c>
      <c r="G26" s="586"/>
      <c r="H26" s="586"/>
      <c r="I26" s="170" t="s">
        <v>177</v>
      </c>
      <c r="J26" s="593">
        <f>COUNTIF(J9:J16,"0")</f>
        <v>0</v>
      </c>
      <c r="K26" s="171"/>
    </row>
    <row r="27" spans="2:12" ht="15" customHeight="1" thickTop="1" x14ac:dyDescent="0.2">
      <c r="B27" s="586"/>
      <c r="C27" s="586"/>
      <c r="D27" s="586"/>
      <c r="E27" s="586"/>
      <c r="F27" s="586"/>
      <c r="G27" s="918" t="s">
        <v>89</v>
      </c>
      <c r="H27" s="918"/>
      <c r="I27" s="594" t="s">
        <v>98</v>
      </c>
      <c r="J27" s="595">
        <f>SUM(J23:J26)</f>
        <v>10</v>
      </c>
      <c r="K27" s="171"/>
    </row>
    <row r="28" spans="2:12" ht="17.100000000000001" customHeight="1" x14ac:dyDescent="0.25">
      <c r="G28" s="172"/>
      <c r="H28" s="172"/>
      <c r="I28" s="173"/>
      <c r="J28" s="172"/>
      <c r="K28" s="172"/>
    </row>
    <row r="29" spans="2:12" ht="17.100000000000001" customHeight="1" x14ac:dyDescent="0.25">
      <c r="G29" s="172"/>
      <c r="H29" s="172"/>
      <c r="I29" s="173"/>
      <c r="J29" s="172"/>
      <c r="K29" s="172"/>
    </row>
    <row r="30" spans="2:12" x14ac:dyDescent="0.2">
      <c r="J30" s="168"/>
      <c r="K30" s="168"/>
    </row>
  </sheetData>
  <mergeCells count="9">
    <mergeCell ref="G27:H27"/>
    <mergeCell ref="B2:J2"/>
    <mergeCell ref="B3:J3"/>
    <mergeCell ref="B4:J4"/>
    <mergeCell ref="B6:B7"/>
    <mergeCell ref="C6:C7"/>
    <mergeCell ref="D6:D7"/>
    <mergeCell ref="F6:G6"/>
    <mergeCell ref="H6:I6"/>
  </mergeCells>
  <conditionalFormatting sqref="J9:J18">
    <cfRule type="cellIs" dxfId="28" priority="1" stopIfTrue="1" operator="between">
      <formula>85</formula>
      <formula>100</formula>
    </cfRule>
    <cfRule type="cellIs" dxfId="27" priority="2" stopIfTrue="1" operator="lessThan">
      <formula>85</formula>
    </cfRule>
    <cfRule type="cellIs" dxfId="26" priority="3" stopIfTrue="1" operator="greaterThan">
      <formula>85</formula>
    </cfRule>
    <cfRule type="cellIs" dxfId="25"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tabSelected="1" topLeftCell="A3" zoomScale="90" zoomScaleNormal="90" workbookViewId="0">
      <selection activeCell="A5" sqref="A5:J5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0" t="s">
        <v>158</v>
      </c>
      <c r="C2" s="930"/>
      <c r="D2" s="930"/>
      <c r="E2" s="930"/>
      <c r="F2" s="930"/>
      <c r="G2" s="930"/>
      <c r="H2" s="930"/>
      <c r="I2" s="930"/>
      <c r="J2" s="930"/>
    </row>
    <row r="3" spans="2:10" ht="15.75" x14ac:dyDescent="0.2">
      <c r="B3" s="930" t="s">
        <v>252</v>
      </c>
      <c r="C3" s="930"/>
      <c r="D3" s="930"/>
      <c r="E3" s="930"/>
      <c r="F3" s="930"/>
      <c r="G3" s="930"/>
      <c r="H3" s="930"/>
      <c r="I3" s="930"/>
      <c r="J3" s="930"/>
    </row>
    <row r="4" spans="2:10" ht="15.75" x14ac:dyDescent="0.2">
      <c r="B4" s="930" t="str">
        <f>+UTAMA!B4</f>
        <v xml:space="preserve">MINGGU KE III JUNI ( 18 JUNI S/D 24 JUNI 2024 ) dalam Juta m3 </v>
      </c>
      <c r="C4" s="930"/>
      <c r="D4" s="930"/>
      <c r="E4" s="930"/>
      <c r="F4" s="930"/>
      <c r="G4" s="930"/>
      <c r="H4" s="930"/>
      <c r="I4" s="930"/>
      <c r="J4" s="930"/>
    </row>
    <row r="5" spans="2:10" ht="13.5" customHeight="1" thickBot="1" x14ac:dyDescent="0.25"/>
    <row r="6" spans="2:10" ht="21" customHeight="1" x14ac:dyDescent="0.2">
      <c r="B6" s="933" t="s">
        <v>18</v>
      </c>
      <c r="C6" s="931" t="s">
        <v>270</v>
      </c>
      <c r="D6" s="250" t="s">
        <v>105</v>
      </c>
      <c r="E6" s="251" t="s">
        <v>25</v>
      </c>
      <c r="F6" s="935" t="s">
        <v>106</v>
      </c>
      <c r="G6" s="936"/>
      <c r="H6" s="937" t="s">
        <v>159</v>
      </c>
      <c r="I6" s="938"/>
      <c r="J6" s="252" t="s">
        <v>69</v>
      </c>
    </row>
    <row r="7" spans="2:10" ht="18" customHeight="1" x14ac:dyDescent="0.2">
      <c r="B7" s="934"/>
      <c r="C7" s="932"/>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hidden="1" x14ac:dyDescent="0.2">
      <c r="B9" s="601">
        <v>1</v>
      </c>
      <c r="C9" s="604" t="s">
        <v>29</v>
      </c>
      <c r="D9" s="605">
        <v>28310</v>
      </c>
      <c r="E9" s="606">
        <f>UTAMA!F12</f>
        <v>7.77</v>
      </c>
      <c r="F9" s="607">
        <f>+UTAMA!G12</f>
        <v>339.5</v>
      </c>
      <c r="G9" s="608">
        <f>+UTAMA!I12</f>
        <v>339.5</v>
      </c>
      <c r="H9" s="609">
        <f>+UTAMA!H12</f>
        <v>7.77</v>
      </c>
      <c r="I9" s="609">
        <f>+UTAMA!J12</f>
        <v>7.77</v>
      </c>
      <c r="J9" s="610">
        <f t="shared" ref="J9:J41" si="0">IFERROR(+I9/H9*100%*100,0)</f>
        <v>100</v>
      </c>
    </row>
    <row r="10" spans="2:10" ht="15.75" hidden="1" x14ac:dyDescent="0.2">
      <c r="B10" s="601">
        <f>1+B9</f>
        <v>2</v>
      </c>
      <c r="C10" s="604" t="s">
        <v>32</v>
      </c>
      <c r="D10" s="605">
        <v>4959</v>
      </c>
      <c r="E10" s="606">
        <f>UTAMA!F15</f>
        <v>9.5030000000000001</v>
      </c>
      <c r="F10" s="607">
        <f>+UTAMA!G15</f>
        <v>206.17</v>
      </c>
      <c r="G10" s="608">
        <f>+UTAMA!I15</f>
        <v>207.01</v>
      </c>
      <c r="H10" s="609">
        <f>+UTAMA!H15</f>
        <v>8.5139999999999993</v>
      </c>
      <c r="I10" s="609">
        <f>UTAMA!J15</f>
        <v>8.6530000000000005</v>
      </c>
      <c r="J10" s="610">
        <f t="shared" si="0"/>
        <v>101.63260512097723</v>
      </c>
    </row>
    <row r="11" spans="2:10" ht="15.75" hidden="1" x14ac:dyDescent="0.2">
      <c r="B11" s="601">
        <f t="shared" ref="B11:B41" si="1">+B10+1</f>
        <v>3</v>
      </c>
      <c r="C11" s="604" t="s">
        <v>33</v>
      </c>
      <c r="D11" s="605">
        <v>6052</v>
      </c>
      <c r="E11" s="606">
        <f>UTAMA!F16</f>
        <v>5.1509999999999998</v>
      </c>
      <c r="F11" s="607">
        <f>+UTAMA!G16</f>
        <v>316.10000000000002</v>
      </c>
      <c r="G11" s="608">
        <f>+UTAMA!I16</f>
        <v>316.42</v>
      </c>
      <c r="H11" s="609">
        <f>+UTAMA!H16</f>
        <v>3.4119999999999999</v>
      </c>
      <c r="I11" s="609">
        <f>UTAMA!J16</f>
        <v>3.5019999999999998</v>
      </c>
      <c r="J11" s="610">
        <f t="shared" si="0"/>
        <v>102.6377491207503</v>
      </c>
    </row>
    <row r="12" spans="2:10" ht="15.75" hidden="1" x14ac:dyDescent="0.2">
      <c r="B12" s="601">
        <f t="shared" si="1"/>
        <v>4</v>
      </c>
      <c r="C12" s="604" t="s">
        <v>35</v>
      </c>
      <c r="D12" s="605">
        <v>923</v>
      </c>
      <c r="E12" s="606">
        <f>UTAMA!F19</f>
        <v>2.0920000000000001</v>
      </c>
      <c r="F12" s="607">
        <f>+UTAMA!G19</f>
        <v>115.82</v>
      </c>
      <c r="G12" s="611">
        <f>+UTAMA!I19</f>
        <v>115.98</v>
      </c>
      <c r="H12" s="609">
        <f>+UTAMA!H19</f>
        <v>0.29799999999999999</v>
      </c>
      <c r="I12" s="612">
        <f>UTAMA!J19</f>
        <v>0.32400000000000001</v>
      </c>
      <c r="J12" s="610">
        <f t="shared" si="0"/>
        <v>108.7248322147651</v>
      </c>
    </row>
    <row r="13" spans="2:10" ht="15.75" hidden="1" x14ac:dyDescent="0.2">
      <c r="B13" s="601">
        <f t="shared" si="1"/>
        <v>5</v>
      </c>
      <c r="C13" s="604" t="s">
        <v>36</v>
      </c>
      <c r="D13" s="605">
        <v>251</v>
      </c>
      <c r="E13" s="606">
        <f>UTAMA!F20</f>
        <v>2.3530000000000002</v>
      </c>
      <c r="F13" s="607">
        <f>+UTAMA!G20</f>
        <v>117.38</v>
      </c>
      <c r="G13" s="611">
        <f>+UTAMA!I20</f>
        <v>117.63</v>
      </c>
      <c r="H13" s="609">
        <f>+UTAMA!H20</f>
        <v>0.59299999999999997</v>
      </c>
      <c r="I13" s="612">
        <f>UTAMA!J20</f>
        <v>0.61</v>
      </c>
      <c r="J13" s="610">
        <f t="shared" si="0"/>
        <v>102.86677908937605</v>
      </c>
    </row>
    <row r="14" spans="2:10" ht="15.75" hidden="1" x14ac:dyDescent="0.2">
      <c r="B14" s="601">
        <f t="shared" si="1"/>
        <v>6</v>
      </c>
      <c r="C14" s="604" t="s">
        <v>37</v>
      </c>
      <c r="D14" s="605">
        <v>440</v>
      </c>
      <c r="E14" s="606">
        <f>UTAMA!F21</f>
        <v>4.5999999999999996</v>
      </c>
      <c r="F14" s="607">
        <f>+UTAMA!G21</f>
        <v>44.17</v>
      </c>
      <c r="G14" s="611">
        <f>+UTAMA!I21</f>
        <v>44.36</v>
      </c>
      <c r="H14" s="609">
        <f>+UTAMA!H21</f>
        <v>4.2270000000000003</v>
      </c>
      <c r="I14" s="612">
        <f>UTAMA!J21</f>
        <v>4.2830000000000004</v>
      </c>
      <c r="J14" s="610">
        <f t="shared" si="0"/>
        <v>101.32481665483795</v>
      </c>
    </row>
    <row r="15" spans="2:10" ht="15.75" hidden="1" x14ac:dyDescent="0.2">
      <c r="B15" s="601">
        <f t="shared" si="1"/>
        <v>7</v>
      </c>
      <c r="C15" s="604" t="s">
        <v>39</v>
      </c>
      <c r="D15" s="605">
        <v>775</v>
      </c>
      <c r="E15" s="606">
        <f>UTAMA!F22</f>
        <v>2.4159999999999999</v>
      </c>
      <c r="F15" s="607">
        <f>+UTAMA!G22</f>
        <v>43.93</v>
      </c>
      <c r="G15" s="608">
        <f>+UTAMA!I22</f>
        <v>50.55</v>
      </c>
      <c r="H15" s="609">
        <f>+UTAMA!H22</f>
        <v>2.0150000000000001</v>
      </c>
      <c r="I15" s="609">
        <f>UTAMA!J22</f>
        <v>2.1440000000000001</v>
      </c>
      <c r="J15" s="610">
        <f t="shared" si="0"/>
        <v>106.40198511166253</v>
      </c>
    </row>
    <row r="16" spans="2:10" ht="15.75" hidden="1" x14ac:dyDescent="0.2">
      <c r="B16" s="601">
        <f t="shared" si="1"/>
        <v>8</v>
      </c>
      <c r="C16" s="604" t="s">
        <v>40</v>
      </c>
      <c r="D16" s="605">
        <v>750</v>
      </c>
      <c r="E16" s="606">
        <f>UTAMA!F23</f>
        <v>1.093</v>
      </c>
      <c r="F16" s="607">
        <f>+UTAMA!G23</f>
        <v>74.2</v>
      </c>
      <c r="G16" s="608">
        <f>+UTAMA!I23</f>
        <v>74.5</v>
      </c>
      <c r="H16" s="609">
        <f>+UTAMA!H23</f>
        <v>0.38100000000000001</v>
      </c>
      <c r="I16" s="609">
        <f>UTAMA!J23</f>
        <v>0.42699999999999999</v>
      </c>
      <c r="J16" s="610">
        <f t="shared" si="0"/>
        <v>112.07349081364828</v>
      </c>
    </row>
    <row r="17" spans="2:13" ht="15.75" hidden="1" x14ac:dyDescent="0.2">
      <c r="B17" s="601">
        <f t="shared" si="1"/>
        <v>9</v>
      </c>
      <c r="C17" s="604" t="s">
        <v>41</v>
      </c>
      <c r="D17" s="605">
        <v>482</v>
      </c>
      <c r="E17" s="606">
        <v>0.42899999999999999</v>
      </c>
      <c r="F17" s="607">
        <f>+UTAMA!G24</f>
        <v>80.11</v>
      </c>
      <c r="G17" s="608">
        <f>+UTAMA!I24</f>
        <v>80.22</v>
      </c>
      <c r="H17" s="609">
        <f>+UTAMA!H24</f>
        <v>8.0000000000000002E-3</v>
      </c>
      <c r="I17" s="609">
        <f>UTAMA!J24</f>
        <v>1.0999999999999999E-2</v>
      </c>
      <c r="J17" s="610">
        <f t="shared" si="0"/>
        <v>137.5</v>
      </c>
    </row>
    <row r="18" spans="2:13" ht="15.75" hidden="1" x14ac:dyDescent="0.2">
      <c r="B18" s="601">
        <f t="shared" si="1"/>
        <v>10</v>
      </c>
      <c r="C18" s="604" t="s">
        <v>42</v>
      </c>
      <c r="D18" s="605">
        <v>366</v>
      </c>
      <c r="E18" s="606">
        <f>UTAMA!F25</f>
        <v>0.25</v>
      </c>
      <c r="F18" s="607">
        <f>+UTAMA!G25</f>
        <v>61.7</v>
      </c>
      <c r="G18" s="611">
        <f>+UTAMA!I25</f>
        <v>62.04</v>
      </c>
      <c r="H18" s="609">
        <f>+UTAMA!H25</f>
        <v>5.1999999999999998E-2</v>
      </c>
      <c r="I18" s="612">
        <f>UTAMA!J25</f>
        <v>6.5000000000000002E-2</v>
      </c>
      <c r="J18" s="832">
        <f t="shared" si="0"/>
        <v>125</v>
      </c>
    </row>
    <row r="19" spans="2:13" ht="15.75" hidden="1" x14ac:dyDescent="0.2">
      <c r="B19" s="601">
        <f>+B18+1</f>
        <v>11</v>
      </c>
      <c r="C19" s="604" t="s">
        <v>43</v>
      </c>
      <c r="D19" s="605">
        <v>260</v>
      </c>
      <c r="E19" s="606">
        <f>UTAMA!F26</f>
        <v>0.38500000000000001</v>
      </c>
      <c r="F19" s="607">
        <f>+UTAMA!G26</f>
        <v>45.06</v>
      </c>
      <c r="G19" s="611">
        <f>+UTAMA!I26</f>
        <v>45.3</v>
      </c>
      <c r="H19" s="609">
        <f>+UTAMA!H26</f>
        <v>0.13700000000000001</v>
      </c>
      <c r="I19" s="612">
        <f>UTAMA!J26</f>
        <v>0.16</v>
      </c>
      <c r="J19" s="610">
        <f t="shared" si="0"/>
        <v>116.7883211678832</v>
      </c>
    </row>
    <row r="20" spans="2:13" ht="15.75" hidden="1" x14ac:dyDescent="0.2">
      <c r="B20" s="815">
        <f t="shared" ref="B20:B21" si="2">+B19+1</f>
        <v>12</v>
      </c>
      <c r="C20" s="604" t="s">
        <v>335</v>
      </c>
      <c r="D20" s="825">
        <v>4680</v>
      </c>
      <c r="E20" s="826">
        <f>UTAMA!F36</f>
        <v>9.15</v>
      </c>
      <c r="F20" s="827">
        <f>UTAMA!G39</f>
        <v>323.87</v>
      </c>
      <c r="G20" s="828">
        <f>UTAMA!I39</f>
        <v>322.2</v>
      </c>
      <c r="H20" s="829">
        <f>UTAMA!H39</f>
        <v>0.48799999999999999</v>
      </c>
      <c r="I20" s="609">
        <f>UTAMA!J39</f>
        <v>0.34799999999999998</v>
      </c>
      <c r="J20" s="832">
        <f t="shared" si="0"/>
        <v>71.311475409836063</v>
      </c>
    </row>
    <row r="21" spans="2:13" ht="15.75" hidden="1" x14ac:dyDescent="0.2">
      <c r="B21" s="601">
        <f t="shared" si="2"/>
        <v>13</v>
      </c>
      <c r="C21" s="604" t="s">
        <v>45</v>
      </c>
      <c r="D21" s="605">
        <v>340</v>
      </c>
      <c r="E21" s="666">
        <f>UTAMA!F29</f>
        <v>2.3410000000000002</v>
      </c>
      <c r="F21" s="607">
        <f>+UTAMA!G29</f>
        <v>108.45</v>
      </c>
      <c r="G21" s="611">
        <f>+UTAMA!I29</f>
        <v>110.34</v>
      </c>
      <c r="H21" s="609">
        <f>+UTAMA!H29</f>
        <v>0.54100000000000004</v>
      </c>
      <c r="I21" s="612">
        <f>+UTAMA!J29</f>
        <v>1.0760000000000001</v>
      </c>
      <c r="J21" s="610">
        <f t="shared" si="0"/>
        <v>198.89094269870611</v>
      </c>
      <c r="M21" s="798"/>
    </row>
    <row r="22" spans="2:13" ht="15.75" hidden="1" x14ac:dyDescent="0.2">
      <c r="B22" s="601">
        <f>+B21+1</f>
        <v>14</v>
      </c>
      <c r="C22" s="604" t="s">
        <v>46</v>
      </c>
      <c r="D22" s="605">
        <v>392</v>
      </c>
      <c r="E22" s="666">
        <f>UTAMA!F30</f>
        <v>0.32300000000000001</v>
      </c>
      <c r="F22" s="607">
        <f>+UTAMA!G30</f>
        <v>201.26</v>
      </c>
      <c r="G22" s="611">
        <f>+UTAMA!I30</f>
        <v>200.08</v>
      </c>
      <c r="H22" s="609">
        <f>+UTAMA!H30</f>
        <v>8.7999999999999995E-2</v>
      </c>
      <c r="I22" s="612">
        <f>+UTAMA!J30</f>
        <v>3.2000000000000001E-2</v>
      </c>
      <c r="J22" s="610">
        <f t="shared" si="0"/>
        <v>36.363636363636367</v>
      </c>
    </row>
    <row r="23" spans="2:13" ht="15.75" hidden="1" x14ac:dyDescent="0.2">
      <c r="B23" s="601">
        <f t="shared" si="1"/>
        <v>15</v>
      </c>
      <c r="C23" s="604" t="s">
        <v>47</v>
      </c>
      <c r="D23" s="605">
        <v>394</v>
      </c>
      <c r="E23" s="666">
        <f>UTAMA!F31</f>
        <v>0.42899999999999999</v>
      </c>
      <c r="F23" s="607">
        <f>+UTAMA!G31</f>
        <v>220.03</v>
      </c>
      <c r="G23" s="611">
        <f>+UTAMA!I31</f>
        <v>219.07</v>
      </c>
      <c r="H23" s="609">
        <f>+UTAMA!H31</f>
        <v>0.153</v>
      </c>
      <c r="I23" s="612">
        <f>+UTAMA!J31</f>
        <v>0.107</v>
      </c>
      <c r="J23" s="610">
        <f t="shared" si="0"/>
        <v>69.93464052287581</v>
      </c>
    </row>
    <row r="24" spans="2:13" ht="15.75" hidden="1" x14ac:dyDescent="0.2">
      <c r="B24" s="601">
        <f t="shared" si="1"/>
        <v>16</v>
      </c>
      <c r="C24" s="604" t="s">
        <v>48</v>
      </c>
      <c r="D24" s="605">
        <v>707</v>
      </c>
      <c r="E24" s="666">
        <f>UTAMA!F32</f>
        <v>0.77100000000000002</v>
      </c>
      <c r="F24" s="607">
        <f>+UTAMA!G32</f>
        <v>192.8</v>
      </c>
      <c r="G24" s="611">
        <f>+UTAMA!I32</f>
        <v>192.18</v>
      </c>
      <c r="H24" s="609">
        <f>+UTAMA!H32</f>
        <v>0.251</v>
      </c>
      <c r="I24" s="612">
        <f>+UTAMA!J32</f>
        <v>0.16200000000000001</v>
      </c>
      <c r="J24" s="610">
        <f t="shared" si="0"/>
        <v>64.541832669322702</v>
      </c>
    </row>
    <row r="25" spans="2:13" ht="15.75" hidden="1" x14ac:dyDescent="0.2">
      <c r="B25" s="601">
        <f>+B24+1</f>
        <v>17</v>
      </c>
      <c r="C25" s="604" t="s">
        <v>49</v>
      </c>
      <c r="D25" s="605">
        <v>92</v>
      </c>
      <c r="E25" s="666">
        <f>UTAMA!F33</f>
        <v>0.22600000000000001</v>
      </c>
      <c r="F25" s="607">
        <f>+UTAMA!G33</f>
        <v>162.19</v>
      </c>
      <c r="G25" s="611">
        <f>+UTAMA!I33</f>
        <v>164.73</v>
      </c>
      <c r="H25" s="609">
        <f>+UTAMA!H33</f>
        <v>0.02</v>
      </c>
      <c r="I25" s="612">
        <f>+UTAMA!J33</f>
        <v>0.20399999999999999</v>
      </c>
      <c r="J25" s="610">
        <f t="shared" si="0"/>
        <v>1019.9999999999999</v>
      </c>
    </row>
    <row r="26" spans="2:13" ht="15.75" hidden="1" x14ac:dyDescent="0.2">
      <c r="B26" s="601">
        <f t="shared" si="1"/>
        <v>18</v>
      </c>
      <c r="C26" s="604" t="s">
        <v>50</v>
      </c>
      <c r="D26" s="605">
        <v>319</v>
      </c>
      <c r="E26" s="666">
        <f>UTAMA!F34</f>
        <v>0.71399999999999997</v>
      </c>
      <c r="F26" s="607">
        <f>+UTAMA!G34</f>
        <v>221.39</v>
      </c>
      <c r="G26" s="611">
        <f>+UTAMA!I34</f>
        <v>221.67</v>
      </c>
      <c r="H26" s="609">
        <f>+UTAMA!H34</f>
        <v>0.128</v>
      </c>
      <c r="I26" s="612">
        <f>+UTAMA!J34</f>
        <v>0.14199999999999999</v>
      </c>
      <c r="J26" s="610">
        <f t="shared" si="0"/>
        <v>110.93749999999997</v>
      </c>
    </row>
    <row r="27" spans="2:13" ht="15.75" hidden="1" x14ac:dyDescent="0.2">
      <c r="B27" s="601">
        <f t="shared" si="1"/>
        <v>19</v>
      </c>
      <c r="C27" s="604" t="s">
        <v>51</v>
      </c>
      <c r="D27" s="605">
        <v>635</v>
      </c>
      <c r="E27" s="666">
        <f>UTAMA!F35</f>
        <v>1.708</v>
      </c>
      <c r="F27" s="607">
        <f>+UTAMA!G35</f>
        <v>241.06</v>
      </c>
      <c r="G27" s="611">
        <f>+UTAMA!I35</f>
        <v>243.49</v>
      </c>
      <c r="H27" s="609">
        <f>+UTAMA!H35</f>
        <v>0.11700000000000001</v>
      </c>
      <c r="I27" s="612">
        <f>+UTAMA!J35</f>
        <v>0.46200000000000002</v>
      </c>
      <c r="J27" s="610">
        <f t="shared" si="0"/>
        <v>394.87179487179486</v>
      </c>
    </row>
    <row r="28" spans="2:13" ht="15.75" hidden="1" x14ac:dyDescent="0.2">
      <c r="B28" s="601">
        <f t="shared" si="1"/>
        <v>20</v>
      </c>
      <c r="C28" s="604" t="s">
        <v>52</v>
      </c>
      <c r="D28" s="605">
        <v>2000</v>
      </c>
      <c r="E28" s="666">
        <f>UTAMA!F37</f>
        <v>4.3979999999999997</v>
      </c>
      <c r="F28" s="607">
        <f>+UTAMA!G37</f>
        <v>147.5</v>
      </c>
      <c r="G28" s="608">
        <f>+UTAMA!I37</f>
        <v>144.80000000000001</v>
      </c>
      <c r="H28" s="609">
        <f>+UTAMA!H37</f>
        <v>1.827</v>
      </c>
      <c r="I28" s="609">
        <f>+UTAMA!J37</f>
        <v>0.66800000000000004</v>
      </c>
      <c r="J28" s="610">
        <f t="shared" si="0"/>
        <v>36.562671045429667</v>
      </c>
    </row>
    <row r="29" spans="2:13" ht="15.75" x14ac:dyDescent="0.2">
      <c r="B29" s="601">
        <f t="shared" si="1"/>
        <v>21</v>
      </c>
      <c r="C29" s="604" t="s">
        <v>53</v>
      </c>
      <c r="D29" s="605">
        <v>1126</v>
      </c>
      <c r="E29" s="666">
        <f>UTAMA!F38</f>
        <v>3.3109999999999999</v>
      </c>
      <c r="F29" s="607">
        <f>+UTAMA!G38</f>
        <v>201.11</v>
      </c>
      <c r="G29" s="608">
        <f>+UTAMA!I38</f>
        <v>201.96</v>
      </c>
      <c r="H29" s="609">
        <f>+UTAMA!H38</f>
        <v>1.321</v>
      </c>
      <c r="I29" s="609">
        <f>+UTAMA!J38</f>
        <v>1.68</v>
      </c>
      <c r="J29" s="610">
        <f t="shared" si="0"/>
        <v>127.17638152914459</v>
      </c>
    </row>
    <row r="30" spans="2:13" ht="15.75" x14ac:dyDescent="0.2">
      <c r="B30" s="601">
        <f t="shared" si="1"/>
        <v>22</v>
      </c>
      <c r="C30" s="604" t="s">
        <v>54</v>
      </c>
      <c r="D30" s="605">
        <v>1531</v>
      </c>
      <c r="E30" s="666">
        <f>UTAMA!F39</f>
        <v>0.64100000000000001</v>
      </c>
      <c r="F30" s="607">
        <f>+UTAMA!G39</f>
        <v>323.87</v>
      </c>
      <c r="G30" s="611">
        <f>+UTAMA!I39</f>
        <v>322.2</v>
      </c>
      <c r="H30" s="609">
        <f>+UTAMA!H39</f>
        <v>0.48799999999999999</v>
      </c>
      <c r="I30" s="612">
        <f>+UTAMA!J39</f>
        <v>0.34799999999999998</v>
      </c>
      <c r="J30" s="832">
        <f t="shared" si="0"/>
        <v>71.311475409836063</v>
      </c>
    </row>
    <row r="31" spans="2:13" ht="15.75" x14ac:dyDescent="0.2">
      <c r="B31" s="601">
        <f t="shared" si="1"/>
        <v>23</v>
      </c>
      <c r="C31" s="604" t="s">
        <v>55</v>
      </c>
      <c r="D31" s="605">
        <v>358</v>
      </c>
      <c r="E31" s="666">
        <f>UTAMA!F40</f>
        <v>0.71</v>
      </c>
      <c r="F31" s="607">
        <f>+UTAMA!G40</f>
        <v>127.6</v>
      </c>
      <c r="G31" s="611">
        <f>+UTAMA!I40</f>
        <v>128.41999999999999</v>
      </c>
      <c r="H31" s="609">
        <f>+UTAMA!H40</f>
        <v>0.499</v>
      </c>
      <c r="I31" s="612">
        <f>+UTAMA!J40</f>
        <v>0.60499999999999998</v>
      </c>
      <c r="J31" s="610">
        <f t="shared" si="0"/>
        <v>121.24248496993988</v>
      </c>
    </row>
    <row r="32" spans="2:13" ht="15.75" x14ac:dyDescent="0.2">
      <c r="B32" s="601">
        <f t="shared" si="1"/>
        <v>24</v>
      </c>
      <c r="C32" s="604" t="s">
        <v>56</v>
      </c>
      <c r="D32" s="605">
        <v>2488</v>
      </c>
      <c r="E32" s="666">
        <f>UTAMA!F41</f>
        <v>0.48</v>
      </c>
      <c r="F32" s="607">
        <f>+UTAMA!G41</f>
        <v>279.39</v>
      </c>
      <c r="G32" s="608">
        <f>+UTAMA!I41</f>
        <v>279.79000000000002</v>
      </c>
      <c r="H32" s="609">
        <f>+UTAMA!H41</f>
        <v>0.16</v>
      </c>
      <c r="I32" s="612">
        <f>+UTAMA!J41</f>
        <v>0.187</v>
      </c>
      <c r="J32" s="610">
        <f t="shared" si="0"/>
        <v>116.875</v>
      </c>
    </row>
    <row r="33" spans="2:13" ht="15.75" x14ac:dyDescent="0.2">
      <c r="B33" s="601">
        <f t="shared" si="1"/>
        <v>25</v>
      </c>
      <c r="C33" s="604" t="s">
        <v>57</v>
      </c>
      <c r="D33" s="605">
        <v>426</v>
      </c>
      <c r="E33" s="666">
        <f>UTAMA!F42</f>
        <v>2.8849999999999998</v>
      </c>
      <c r="F33" s="607">
        <f>+UTAMA!G42</f>
        <v>97.58</v>
      </c>
      <c r="G33" s="611">
        <f>+UTAMA!I42</f>
        <v>97.83</v>
      </c>
      <c r="H33" s="609">
        <f>+UTAMA!H42</f>
        <v>1.9019999999999999</v>
      </c>
      <c r="I33" s="612">
        <f>+UTAMA!J42</f>
        <v>2.0550000000000002</v>
      </c>
      <c r="J33" s="610">
        <f t="shared" si="0"/>
        <v>108.04416403785491</v>
      </c>
    </row>
    <row r="34" spans="2:13" ht="15.75" x14ac:dyDescent="0.2">
      <c r="B34" s="601">
        <f t="shared" si="1"/>
        <v>26</v>
      </c>
      <c r="C34" s="604" t="s">
        <v>58</v>
      </c>
      <c r="D34" s="605">
        <v>295</v>
      </c>
      <c r="E34" s="666">
        <f>UTAMA!F43</f>
        <v>7.9000000000000001E-2</v>
      </c>
      <c r="F34" s="607">
        <f>+UTAMA!G43</f>
        <v>189.49</v>
      </c>
      <c r="G34" s="611">
        <f>+UTAMA!I43</f>
        <v>188.1</v>
      </c>
      <c r="H34" s="609">
        <f>+UTAMA!H43</f>
        <v>7.4999999999999997E-2</v>
      </c>
      <c r="I34" s="612">
        <f>+UTAMA!J43</f>
        <v>2.8000000000000001E-2</v>
      </c>
      <c r="J34" s="610">
        <f t="shared" si="0"/>
        <v>37.333333333333336</v>
      </c>
    </row>
    <row r="35" spans="2:13" ht="15.75" x14ac:dyDescent="0.2">
      <c r="B35" s="601">
        <f t="shared" si="1"/>
        <v>27</v>
      </c>
      <c r="C35" s="604" t="s">
        <v>59</v>
      </c>
      <c r="D35" s="605">
        <v>708</v>
      </c>
      <c r="E35" s="666">
        <f>UTAMA!F44</f>
        <v>9.6000000000000002E-2</v>
      </c>
      <c r="F35" s="607">
        <f>+UTAMA!G44</f>
        <v>169.79</v>
      </c>
      <c r="G35" s="611">
        <f>+UTAMA!I44</f>
        <v>170.64</v>
      </c>
      <c r="H35" s="609">
        <f>+UTAMA!H44</f>
        <v>6.3E-2</v>
      </c>
      <c r="I35" s="612">
        <f>+UTAMA!J44</f>
        <v>8.4000000000000005E-2</v>
      </c>
      <c r="J35" s="610">
        <f t="shared" si="0"/>
        <v>133.33333333333334</v>
      </c>
    </row>
    <row r="36" spans="2:13" ht="15.75" x14ac:dyDescent="0.2">
      <c r="B36" s="601">
        <f t="shared" si="1"/>
        <v>28</v>
      </c>
      <c r="C36" s="604" t="s">
        <v>60</v>
      </c>
      <c r="D36" s="605">
        <v>1567</v>
      </c>
      <c r="E36" s="666">
        <f>UTAMA!F45</f>
        <v>9.8740000000000006</v>
      </c>
      <c r="F36" s="607">
        <f>+UTAMA!G45</f>
        <v>139.34</v>
      </c>
      <c r="G36" s="608">
        <f>+UTAMA!I45</f>
        <v>139.32</v>
      </c>
      <c r="H36" s="609">
        <f>+UTAMA!H45</f>
        <v>6.4870000000000001</v>
      </c>
      <c r="I36" s="609">
        <f>+UTAMA!J45</f>
        <v>6.4329999999999998</v>
      </c>
      <c r="J36" s="610">
        <f t="shared" si="0"/>
        <v>99.16756590103283</v>
      </c>
    </row>
    <row r="37" spans="2:13" ht="15.75" x14ac:dyDescent="0.2">
      <c r="B37" s="601">
        <f t="shared" si="1"/>
        <v>29</v>
      </c>
      <c r="C37" s="604" t="s">
        <v>61</v>
      </c>
      <c r="D37" s="605">
        <v>1353</v>
      </c>
      <c r="E37" s="666">
        <f>UTAMA!F46</f>
        <v>2.6720000000000002</v>
      </c>
      <c r="F37" s="607">
        <f>+UTAMA!G46</f>
        <v>237.78</v>
      </c>
      <c r="G37" s="608">
        <f>+UTAMA!I46</f>
        <v>238.7</v>
      </c>
      <c r="H37" s="609">
        <f>+UTAMA!H46</f>
        <v>1.746</v>
      </c>
      <c r="I37" s="609">
        <f>+UTAMA!J46</f>
        <v>2.2440000000000002</v>
      </c>
      <c r="J37" s="610">
        <f t="shared" si="0"/>
        <v>128.52233676975945</v>
      </c>
    </row>
    <row r="38" spans="2:13" ht="15.75" x14ac:dyDescent="0.2">
      <c r="B38" s="601">
        <f t="shared" si="1"/>
        <v>30</v>
      </c>
      <c r="C38" s="604" t="s">
        <v>62</v>
      </c>
      <c r="D38" s="605">
        <v>53</v>
      </c>
      <c r="E38" s="666">
        <f>UTAMA!F47</f>
        <v>4.1539999999999999</v>
      </c>
      <c r="F38" s="607">
        <f>+UTAMA!G47</f>
        <v>118.34</v>
      </c>
      <c r="G38" s="608">
        <f>+UTAMA!I47</f>
        <v>118.26</v>
      </c>
      <c r="H38" s="609">
        <f>+UTAMA!H47</f>
        <v>2.1789999999999998</v>
      </c>
      <c r="I38" s="609">
        <f>+UTAMA!J47</f>
        <v>2.0470000000000002</v>
      </c>
      <c r="J38" s="610">
        <f t="shared" si="0"/>
        <v>93.942175309775138</v>
      </c>
    </row>
    <row r="39" spans="2:13" ht="15.75" x14ac:dyDescent="0.2">
      <c r="B39" s="601">
        <f t="shared" si="1"/>
        <v>31</v>
      </c>
      <c r="C39" s="604" t="s">
        <v>63</v>
      </c>
      <c r="D39" s="605">
        <v>51</v>
      </c>
      <c r="E39" s="666">
        <f>UTAMA!F48</f>
        <v>2.75</v>
      </c>
      <c r="F39" s="607">
        <f>+UTAMA!G48</f>
        <v>109.74</v>
      </c>
      <c r="G39" s="608">
        <f>+UTAMA!I48</f>
        <v>110.03</v>
      </c>
      <c r="H39" s="609">
        <f>+UTAMA!H48</f>
        <v>1.4930000000000001</v>
      </c>
      <c r="I39" s="609">
        <f>+UTAMA!J48</f>
        <v>1.744</v>
      </c>
      <c r="J39" s="610">
        <f t="shared" si="0"/>
        <v>116.81178834561285</v>
      </c>
    </row>
    <row r="40" spans="2:13" ht="15.75" x14ac:dyDescent="0.2">
      <c r="B40" s="601">
        <f t="shared" si="1"/>
        <v>32</v>
      </c>
      <c r="C40" s="604" t="s">
        <v>212</v>
      </c>
      <c r="D40" s="605">
        <v>0</v>
      </c>
      <c r="E40" s="606">
        <f>UTAMA!F53</f>
        <v>0.47399999999999998</v>
      </c>
      <c r="F40" s="607">
        <f>+UTAMA!G53</f>
        <v>34.74</v>
      </c>
      <c r="G40" s="608">
        <f>+UTAMA!I53</f>
        <v>38.46</v>
      </c>
      <c r="H40" s="609">
        <f>+UTAMA!H53</f>
        <v>0.255</v>
      </c>
      <c r="I40" s="609">
        <f>UTAMA!J53</f>
        <v>0.41399999999999998</v>
      </c>
      <c r="J40" s="610">
        <f t="shared" si="0"/>
        <v>162.35294117647058</v>
      </c>
    </row>
    <row r="41" spans="2:13" ht="15.75" x14ac:dyDescent="0.2">
      <c r="B41" s="601">
        <f t="shared" si="1"/>
        <v>33</v>
      </c>
      <c r="C41" s="604" t="s">
        <v>213</v>
      </c>
      <c r="D41" s="605">
        <v>0</v>
      </c>
      <c r="E41" s="606">
        <f>UTAMA!F54</f>
        <v>0.81699999999999995</v>
      </c>
      <c r="F41" s="607">
        <f>+UTAMA!G54</f>
        <v>70.099999999999994</v>
      </c>
      <c r="G41" s="608">
        <f>+UTAMA!I54</f>
        <v>69.790000000000006</v>
      </c>
      <c r="H41" s="609">
        <f>+UTAMA!H54</f>
        <v>0.76400000000000001</v>
      </c>
      <c r="I41" s="609">
        <f>UTAMA!J54</f>
        <v>0.68700000000000006</v>
      </c>
      <c r="J41" s="610">
        <f t="shared" si="0"/>
        <v>89.921465968586389</v>
      </c>
    </row>
    <row r="42" spans="2:13" ht="16.5" thickBot="1" x14ac:dyDescent="0.25">
      <c r="B42" s="613"/>
      <c r="C42" s="614" t="s">
        <v>89</v>
      </c>
      <c r="D42" s="615">
        <f>SUM(D9:D41)</f>
        <v>63083</v>
      </c>
      <c r="E42" s="616">
        <f>SUM(E9:E41)</f>
        <v>85.044999999999973</v>
      </c>
      <c r="F42" s="617"/>
      <c r="G42" s="617"/>
      <c r="H42" s="618">
        <f>SUM(H9:H41)</f>
        <v>48.452000000000012</v>
      </c>
      <c r="I42" s="619">
        <f>SUM(I9:I41)</f>
        <v>49.705999999999989</v>
      </c>
      <c r="J42" s="620">
        <f>+I42/H42*100%*100</f>
        <v>102.58812845702958</v>
      </c>
    </row>
    <row r="43" spans="2:13" ht="16.5" thickBot="1" x14ac:dyDescent="0.25">
      <c r="B43" s="621" t="s">
        <v>68</v>
      </c>
      <c r="C43" s="622" t="s">
        <v>69</v>
      </c>
      <c r="D43" s="622"/>
      <c r="E43" s="623"/>
      <c r="F43" s="624"/>
      <c r="G43" s="624"/>
      <c r="H43" s="625" t="s">
        <v>95</v>
      </c>
      <c r="I43" s="626">
        <f>+I42/H42*100%</f>
        <v>1.0258812845702958</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22</v>
      </c>
    </row>
    <row r="47" spans="2:13" ht="15" x14ac:dyDescent="0.2">
      <c r="B47" s="628"/>
      <c r="C47" s="630" t="s">
        <v>100</v>
      </c>
      <c r="D47" s="630"/>
      <c r="E47" s="631" t="s">
        <v>98</v>
      </c>
      <c r="F47" s="630" t="s">
        <v>101</v>
      </c>
      <c r="G47" s="630"/>
      <c r="H47" s="630"/>
      <c r="I47" s="632" t="s">
        <v>176</v>
      </c>
      <c r="J47" s="633">
        <f>COUNTIFS(J9:J41,"&gt;=85",J9:J41,"&lt;=100")</f>
        <v>4</v>
      </c>
    </row>
    <row r="48" spans="2:13" ht="15" x14ac:dyDescent="0.2">
      <c r="B48" s="628"/>
      <c r="C48" s="630" t="s">
        <v>102</v>
      </c>
      <c r="D48" s="630"/>
      <c r="E48" s="631" t="s">
        <v>98</v>
      </c>
      <c r="F48" s="630" t="s">
        <v>103</v>
      </c>
      <c r="G48" s="630"/>
      <c r="H48" s="630"/>
      <c r="I48" s="632" t="s">
        <v>176</v>
      </c>
      <c r="J48" s="254">
        <f>COUNTIFS(J9:J41,"&gt;0",J9:J41,"&lt;=85")</f>
        <v>7</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24" priority="5" stopIfTrue="1" operator="equal">
      <formula>0</formula>
    </cfRule>
    <cfRule type="cellIs" dxfId="23" priority="6" stopIfTrue="1" operator="lessThan">
      <formula>84</formula>
    </cfRule>
    <cfRule type="cellIs" dxfId="22" priority="7" stopIfTrue="1" operator="between">
      <formula>85</formula>
      <formula>100</formula>
    </cfRule>
    <cfRule type="cellIs" dxfId="21" priority="10" stopIfTrue="1" operator="equal">
      <formula>0</formula>
    </cfRule>
    <cfRule type="cellIs" dxfId="20" priority="12" stopIfTrue="1" operator="greaterThan">
      <formula>100</formula>
    </cfRule>
    <cfRule type="cellIs" dxfId="19" priority="13" stopIfTrue="1" operator="between">
      <formula>85</formula>
      <formula>100</formula>
    </cfRule>
  </conditionalFormatting>
  <conditionalFormatting sqref="J30:J41">
    <cfRule type="cellIs" dxfId="18" priority="14" stopIfTrue="1" operator="greaterThan">
      <formula>100</formula>
    </cfRule>
    <cfRule type="cellIs" dxfId="17"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6"/>
  <sheetViews>
    <sheetView showGridLines="0" topLeftCell="A16" zoomScale="90" zoomScaleNormal="90" workbookViewId="0">
      <selection activeCell="L44" sqref="L44"/>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0" t="s">
        <v>158</v>
      </c>
      <c r="C2" s="930"/>
      <c r="D2" s="930"/>
      <c r="E2" s="930"/>
      <c r="F2" s="930"/>
      <c r="G2" s="930"/>
      <c r="H2" s="930"/>
      <c r="I2" s="930"/>
      <c r="J2" s="930"/>
    </row>
    <row r="3" spans="2:10" ht="15.75" x14ac:dyDescent="0.2">
      <c r="B3" s="930" t="s">
        <v>252</v>
      </c>
      <c r="C3" s="930"/>
      <c r="D3" s="930"/>
      <c r="E3" s="930"/>
      <c r="F3" s="930"/>
      <c r="G3" s="930"/>
      <c r="H3" s="930"/>
      <c r="I3" s="930"/>
      <c r="J3" s="930"/>
    </row>
    <row r="4" spans="2:10" ht="15.75" x14ac:dyDescent="0.2">
      <c r="B4" s="930" t="str">
        <f>+UTAMA!B4</f>
        <v xml:space="preserve">MINGGU KE III JUNI ( 18 JUNI S/D 24 JUNI 2024 ) dalam Juta m3 </v>
      </c>
      <c r="C4" s="930"/>
      <c r="D4" s="930"/>
      <c r="E4" s="930"/>
      <c r="F4" s="930"/>
      <c r="G4" s="930"/>
      <c r="H4" s="930"/>
      <c r="I4" s="930"/>
      <c r="J4" s="930"/>
    </row>
    <row r="5" spans="2:10" ht="13.5" customHeight="1" thickBot="1" x14ac:dyDescent="0.25"/>
    <row r="6" spans="2:10" ht="21" customHeight="1" x14ac:dyDescent="0.2">
      <c r="B6" s="933" t="s">
        <v>18</v>
      </c>
      <c r="C6" s="931" t="s">
        <v>270</v>
      </c>
      <c r="D6" s="250" t="s">
        <v>105</v>
      </c>
      <c r="E6" s="251" t="s">
        <v>25</v>
      </c>
      <c r="F6" s="935" t="s">
        <v>106</v>
      </c>
      <c r="G6" s="936"/>
      <c r="H6" s="937" t="s">
        <v>159</v>
      </c>
      <c r="I6" s="938"/>
      <c r="J6" s="252" t="s">
        <v>69</v>
      </c>
    </row>
    <row r="7" spans="2:10" ht="15.75" x14ac:dyDescent="0.2">
      <c r="B7" s="934"/>
      <c r="C7" s="932"/>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339.5</v>
      </c>
      <c r="H9" s="609">
        <f>+UTAMA!H12</f>
        <v>7.77</v>
      </c>
      <c r="I9" s="609">
        <f>+UTAMA!J12</f>
        <v>7.77</v>
      </c>
      <c r="J9" s="610">
        <f t="shared" ref="J9:J39" si="0">IFERROR(+I9/H9*100%*100,0)</f>
        <v>100</v>
      </c>
    </row>
    <row r="10" spans="2:10" ht="15.75" x14ac:dyDescent="0.2">
      <c r="B10" s="601">
        <f>1+B9</f>
        <v>2</v>
      </c>
      <c r="C10" s="604" t="s">
        <v>32</v>
      </c>
      <c r="D10" s="605">
        <v>4959</v>
      </c>
      <c r="E10" s="606">
        <f>UTAMA!F15</f>
        <v>9.5030000000000001</v>
      </c>
      <c r="F10" s="607">
        <f>+UTAMA!G15</f>
        <v>206.17</v>
      </c>
      <c r="G10" s="608">
        <f>+UTAMA!I15</f>
        <v>207.01</v>
      </c>
      <c r="H10" s="609">
        <f>+UTAMA!H15</f>
        <v>8.5139999999999993</v>
      </c>
      <c r="I10" s="609">
        <f>UTAMA!J15</f>
        <v>8.6530000000000005</v>
      </c>
      <c r="J10" s="610">
        <f t="shared" si="0"/>
        <v>101.63260512097723</v>
      </c>
    </row>
    <row r="11" spans="2:10" ht="15.75" x14ac:dyDescent="0.2">
      <c r="B11" s="601">
        <f t="shared" ref="B11:B39" si="1">+B10+1</f>
        <v>3</v>
      </c>
      <c r="C11" s="604" t="s">
        <v>33</v>
      </c>
      <c r="D11" s="605">
        <v>6052</v>
      </c>
      <c r="E11" s="606">
        <f>UTAMA!F16</f>
        <v>5.1509999999999998</v>
      </c>
      <c r="F11" s="607">
        <f>+UTAMA!G16</f>
        <v>316.10000000000002</v>
      </c>
      <c r="G11" s="608">
        <f>+UTAMA!I16</f>
        <v>316.42</v>
      </c>
      <c r="H11" s="609">
        <f>+UTAMA!H16</f>
        <v>3.4119999999999999</v>
      </c>
      <c r="I11" s="609">
        <f>UTAMA!J16</f>
        <v>3.5019999999999998</v>
      </c>
      <c r="J11" s="610">
        <f t="shared" si="0"/>
        <v>102.6377491207503</v>
      </c>
    </row>
    <row r="12" spans="2:10" ht="15.75" x14ac:dyDescent="0.2">
      <c r="B12" s="601">
        <f t="shared" si="1"/>
        <v>4</v>
      </c>
      <c r="C12" s="604" t="s">
        <v>35</v>
      </c>
      <c r="D12" s="605">
        <v>923</v>
      </c>
      <c r="E12" s="606">
        <f>UTAMA!F19</f>
        <v>2.0920000000000001</v>
      </c>
      <c r="F12" s="607">
        <f>+UTAMA!G19</f>
        <v>115.82</v>
      </c>
      <c r="G12" s="611">
        <f>+UTAMA!I19</f>
        <v>115.98</v>
      </c>
      <c r="H12" s="609">
        <f>+UTAMA!H19</f>
        <v>0.29799999999999999</v>
      </c>
      <c r="I12" s="612">
        <f>UTAMA!J19</f>
        <v>0.32400000000000001</v>
      </c>
      <c r="J12" s="610">
        <f t="shared" si="0"/>
        <v>108.7248322147651</v>
      </c>
    </row>
    <row r="13" spans="2:10" ht="15.75" x14ac:dyDescent="0.2">
      <c r="B13" s="601">
        <f t="shared" si="1"/>
        <v>5</v>
      </c>
      <c r="C13" s="604" t="s">
        <v>36</v>
      </c>
      <c r="D13" s="605">
        <v>251</v>
      </c>
      <c r="E13" s="606">
        <f>UTAMA!F20</f>
        <v>2.3530000000000002</v>
      </c>
      <c r="F13" s="607">
        <f>+UTAMA!G20</f>
        <v>117.38</v>
      </c>
      <c r="G13" s="611">
        <f>+UTAMA!I20</f>
        <v>117.63</v>
      </c>
      <c r="H13" s="609">
        <f>+UTAMA!H20</f>
        <v>0.59299999999999997</v>
      </c>
      <c r="I13" s="612">
        <f>UTAMA!J20</f>
        <v>0.61</v>
      </c>
      <c r="J13" s="832">
        <f t="shared" si="0"/>
        <v>102.86677908937605</v>
      </c>
    </row>
    <row r="14" spans="2:10" ht="15.75" x14ac:dyDescent="0.2">
      <c r="B14" s="601">
        <f t="shared" si="1"/>
        <v>6</v>
      </c>
      <c r="C14" s="604" t="s">
        <v>37</v>
      </c>
      <c r="D14" s="605">
        <v>440</v>
      </c>
      <c r="E14" s="606">
        <f>UTAMA!F21</f>
        <v>4.5999999999999996</v>
      </c>
      <c r="F14" s="607">
        <f>+UTAMA!G21</f>
        <v>44.17</v>
      </c>
      <c r="G14" s="611">
        <f>+UTAMA!I21</f>
        <v>44.36</v>
      </c>
      <c r="H14" s="609">
        <f>+UTAMA!H21</f>
        <v>4.2270000000000003</v>
      </c>
      <c r="I14" s="612">
        <f>UTAMA!J21</f>
        <v>4.2830000000000004</v>
      </c>
      <c r="J14" s="610">
        <f t="shared" si="0"/>
        <v>101.32481665483795</v>
      </c>
    </row>
    <row r="15" spans="2:10" ht="15.75" x14ac:dyDescent="0.2">
      <c r="B15" s="601">
        <f t="shared" si="1"/>
        <v>7</v>
      </c>
      <c r="C15" s="604" t="s">
        <v>39</v>
      </c>
      <c r="D15" s="605">
        <v>775</v>
      </c>
      <c r="E15" s="606">
        <f>UTAMA!F22</f>
        <v>2.4159999999999999</v>
      </c>
      <c r="F15" s="607">
        <f>+UTAMA!G22</f>
        <v>43.93</v>
      </c>
      <c r="G15" s="608">
        <f>+UTAMA!I22</f>
        <v>50.55</v>
      </c>
      <c r="H15" s="609">
        <f>+UTAMA!H22</f>
        <v>2.0150000000000001</v>
      </c>
      <c r="I15" s="609">
        <f>UTAMA!J22</f>
        <v>2.1440000000000001</v>
      </c>
      <c r="J15" s="610">
        <f t="shared" si="0"/>
        <v>106.40198511166253</v>
      </c>
    </row>
    <row r="16" spans="2:10" ht="15.75" x14ac:dyDescent="0.2">
      <c r="B16" s="601">
        <f t="shared" si="1"/>
        <v>8</v>
      </c>
      <c r="C16" s="604" t="s">
        <v>40</v>
      </c>
      <c r="D16" s="605">
        <v>750</v>
      </c>
      <c r="E16" s="606">
        <f>UTAMA!F23</f>
        <v>1.093</v>
      </c>
      <c r="F16" s="607">
        <f>+UTAMA!G23</f>
        <v>74.2</v>
      </c>
      <c r="G16" s="608">
        <f>+UTAMA!I23</f>
        <v>74.5</v>
      </c>
      <c r="H16" s="609">
        <f>+UTAMA!H23</f>
        <v>0.38100000000000001</v>
      </c>
      <c r="I16" s="609">
        <f>UTAMA!J23</f>
        <v>0.42699999999999999</v>
      </c>
      <c r="J16" s="610">
        <f t="shared" si="0"/>
        <v>112.07349081364828</v>
      </c>
    </row>
    <row r="17" spans="2:13" ht="15.75" x14ac:dyDescent="0.2">
      <c r="B17" s="601">
        <f t="shared" si="1"/>
        <v>9</v>
      </c>
      <c r="C17" s="604" t="s">
        <v>41</v>
      </c>
      <c r="D17" s="605">
        <v>482</v>
      </c>
      <c r="E17" s="606">
        <v>0.42899999999999999</v>
      </c>
      <c r="F17" s="607">
        <f>+UTAMA!G24</f>
        <v>80.11</v>
      </c>
      <c r="G17" s="608">
        <f>+UTAMA!I24</f>
        <v>80.22</v>
      </c>
      <c r="H17" s="609">
        <f>+UTAMA!H24</f>
        <v>8.0000000000000002E-3</v>
      </c>
      <c r="I17" s="609">
        <f>UTAMA!J24</f>
        <v>1.0999999999999999E-2</v>
      </c>
      <c r="J17" s="610">
        <f t="shared" si="0"/>
        <v>137.5</v>
      </c>
    </row>
    <row r="18" spans="2:13" ht="15.75" x14ac:dyDescent="0.2">
      <c r="B18" s="601">
        <f t="shared" si="1"/>
        <v>10</v>
      </c>
      <c r="C18" s="604" t="s">
        <v>42</v>
      </c>
      <c r="D18" s="605">
        <v>366</v>
      </c>
      <c r="E18" s="606">
        <f>UTAMA!F25</f>
        <v>0.25</v>
      </c>
      <c r="F18" s="607">
        <f>+UTAMA!G25</f>
        <v>61.7</v>
      </c>
      <c r="G18" s="611">
        <f>+UTAMA!I25</f>
        <v>62.04</v>
      </c>
      <c r="H18" s="609">
        <f>+UTAMA!H25</f>
        <v>5.1999999999999998E-2</v>
      </c>
      <c r="I18" s="612">
        <f>UTAMA!J25</f>
        <v>6.5000000000000002E-2</v>
      </c>
      <c r="J18" s="610">
        <f t="shared" si="0"/>
        <v>125</v>
      </c>
    </row>
    <row r="19" spans="2:13" ht="15.75" x14ac:dyDescent="0.2">
      <c r="B19" s="601">
        <f>+B18+1</f>
        <v>11</v>
      </c>
      <c r="C19" s="604" t="s">
        <v>43</v>
      </c>
      <c r="D19" s="605">
        <v>260</v>
      </c>
      <c r="E19" s="606">
        <f>UTAMA!F26</f>
        <v>0.38500000000000001</v>
      </c>
      <c r="F19" s="607">
        <f>+UTAMA!G26</f>
        <v>45.06</v>
      </c>
      <c r="G19" s="611">
        <f>+UTAMA!I26</f>
        <v>45.3</v>
      </c>
      <c r="H19" s="609">
        <f>+UTAMA!H26</f>
        <v>0.13700000000000001</v>
      </c>
      <c r="I19" s="612">
        <f>UTAMA!J26</f>
        <v>0.16</v>
      </c>
      <c r="J19" s="610">
        <f t="shared" si="0"/>
        <v>116.7883211678832</v>
      </c>
    </row>
    <row r="20" spans="2:13" ht="15.75" x14ac:dyDescent="0.2">
      <c r="B20" s="815">
        <f t="shared" ref="B20:B21" si="2">+B19+1</f>
        <v>12</v>
      </c>
      <c r="C20" s="604" t="s">
        <v>335</v>
      </c>
      <c r="D20" s="825">
        <v>4680</v>
      </c>
      <c r="E20" s="826">
        <f>UTAMA!F36</f>
        <v>9.15</v>
      </c>
      <c r="F20" s="827">
        <f>UTAMA!G39</f>
        <v>323.87</v>
      </c>
      <c r="G20" s="828">
        <f>UTAMA!I39</f>
        <v>322.2</v>
      </c>
      <c r="H20" s="829">
        <f>UTAMA!H39</f>
        <v>0.48799999999999999</v>
      </c>
      <c r="I20" s="609">
        <f>UTAMA!J39</f>
        <v>0.34799999999999998</v>
      </c>
      <c r="J20" s="610">
        <f t="shared" si="0"/>
        <v>71.311475409836063</v>
      </c>
    </row>
    <row r="21" spans="2:13" ht="15.75" x14ac:dyDescent="0.2">
      <c r="B21" s="601">
        <f t="shared" si="2"/>
        <v>13</v>
      </c>
      <c r="C21" s="604" t="s">
        <v>45</v>
      </c>
      <c r="D21" s="605">
        <v>340</v>
      </c>
      <c r="E21" s="666">
        <f>UTAMA!F29</f>
        <v>2.3410000000000002</v>
      </c>
      <c r="F21" s="607">
        <f>+UTAMA!G29</f>
        <v>108.45</v>
      </c>
      <c r="G21" s="611">
        <f>+UTAMA!I29</f>
        <v>110.34</v>
      </c>
      <c r="H21" s="609">
        <f>+UTAMA!H29</f>
        <v>0.54100000000000004</v>
      </c>
      <c r="I21" s="612">
        <f>+UTAMA!J29</f>
        <v>1.0760000000000001</v>
      </c>
      <c r="J21" s="610">
        <f t="shared" si="0"/>
        <v>198.89094269870611</v>
      </c>
      <c r="M21" s="798"/>
    </row>
    <row r="22" spans="2:13" ht="15.75" x14ac:dyDescent="0.2">
      <c r="B22" s="601">
        <f>+B21+1</f>
        <v>14</v>
      </c>
      <c r="C22" s="604" t="s">
        <v>46</v>
      </c>
      <c r="D22" s="605">
        <v>392</v>
      </c>
      <c r="E22" s="666">
        <f>UTAMA!F30</f>
        <v>0.32300000000000001</v>
      </c>
      <c r="F22" s="607">
        <f>+UTAMA!G30</f>
        <v>201.26</v>
      </c>
      <c r="G22" s="611">
        <f>+UTAMA!I30</f>
        <v>200.08</v>
      </c>
      <c r="H22" s="609">
        <f>+UTAMA!H30</f>
        <v>8.7999999999999995E-2</v>
      </c>
      <c r="I22" s="612">
        <f>+UTAMA!J30</f>
        <v>3.2000000000000001E-2</v>
      </c>
      <c r="J22" s="610">
        <f t="shared" si="0"/>
        <v>36.363636363636367</v>
      </c>
    </row>
    <row r="23" spans="2:13" ht="15.75" x14ac:dyDescent="0.2">
      <c r="B23" s="601">
        <f t="shared" si="1"/>
        <v>15</v>
      </c>
      <c r="C23" s="604" t="s">
        <v>47</v>
      </c>
      <c r="D23" s="605">
        <v>394</v>
      </c>
      <c r="E23" s="666">
        <f>UTAMA!F31</f>
        <v>0.42899999999999999</v>
      </c>
      <c r="F23" s="607">
        <f>+UTAMA!G31</f>
        <v>220.03</v>
      </c>
      <c r="G23" s="611">
        <f>+UTAMA!I31</f>
        <v>219.07</v>
      </c>
      <c r="H23" s="609">
        <f>+UTAMA!H31</f>
        <v>0.153</v>
      </c>
      <c r="I23" s="612">
        <f>+UTAMA!J31</f>
        <v>0.107</v>
      </c>
      <c r="J23" s="610">
        <f t="shared" si="0"/>
        <v>69.93464052287581</v>
      </c>
    </row>
    <row r="24" spans="2:13" ht="15.75" x14ac:dyDescent="0.2">
      <c r="B24" s="601">
        <f t="shared" si="1"/>
        <v>16</v>
      </c>
      <c r="C24" s="604" t="s">
        <v>48</v>
      </c>
      <c r="D24" s="605">
        <v>707</v>
      </c>
      <c r="E24" s="666">
        <f>UTAMA!F32</f>
        <v>0.77100000000000002</v>
      </c>
      <c r="F24" s="607">
        <f>+UTAMA!G32</f>
        <v>192.8</v>
      </c>
      <c r="G24" s="611">
        <f>+UTAMA!I32</f>
        <v>192.18</v>
      </c>
      <c r="H24" s="609">
        <f>+UTAMA!H32</f>
        <v>0.251</v>
      </c>
      <c r="I24" s="612">
        <f>+UTAMA!J32</f>
        <v>0.16200000000000001</v>
      </c>
      <c r="J24" s="610">
        <f t="shared" si="0"/>
        <v>64.541832669322702</v>
      </c>
    </row>
    <row r="25" spans="2:13" ht="15.75" x14ac:dyDescent="0.2">
      <c r="B25" s="601">
        <f>+B24+1</f>
        <v>17</v>
      </c>
      <c r="C25" s="604" t="s">
        <v>49</v>
      </c>
      <c r="D25" s="605">
        <v>92</v>
      </c>
      <c r="E25" s="666">
        <f>UTAMA!F33</f>
        <v>0.22600000000000001</v>
      </c>
      <c r="F25" s="607">
        <f>+UTAMA!G33</f>
        <v>162.19</v>
      </c>
      <c r="G25" s="611">
        <f>+UTAMA!I33</f>
        <v>164.73</v>
      </c>
      <c r="H25" s="609">
        <f>+UTAMA!H33</f>
        <v>0.02</v>
      </c>
      <c r="I25" s="612">
        <f>+UTAMA!J33</f>
        <v>0.20399999999999999</v>
      </c>
      <c r="J25" s="610">
        <f t="shared" si="0"/>
        <v>1019.9999999999999</v>
      </c>
    </row>
    <row r="26" spans="2:13" ht="15.75" x14ac:dyDescent="0.2">
      <c r="B26" s="601">
        <f t="shared" si="1"/>
        <v>18</v>
      </c>
      <c r="C26" s="604" t="s">
        <v>50</v>
      </c>
      <c r="D26" s="605">
        <v>319</v>
      </c>
      <c r="E26" s="666">
        <f>UTAMA!F34</f>
        <v>0.71399999999999997</v>
      </c>
      <c r="F26" s="607">
        <f>+UTAMA!G34</f>
        <v>221.39</v>
      </c>
      <c r="G26" s="611">
        <f>+UTAMA!I34</f>
        <v>221.67</v>
      </c>
      <c r="H26" s="609">
        <f>+UTAMA!H34</f>
        <v>0.128</v>
      </c>
      <c r="I26" s="612">
        <f>+UTAMA!J34</f>
        <v>0.14199999999999999</v>
      </c>
      <c r="J26" s="610">
        <f t="shared" si="0"/>
        <v>110.93749999999997</v>
      </c>
    </row>
    <row r="27" spans="2:13" ht="15.75" x14ac:dyDescent="0.2">
      <c r="B27" s="601">
        <f t="shared" si="1"/>
        <v>19</v>
      </c>
      <c r="C27" s="604" t="s">
        <v>51</v>
      </c>
      <c r="D27" s="605">
        <v>635</v>
      </c>
      <c r="E27" s="666">
        <f>UTAMA!F35</f>
        <v>1.708</v>
      </c>
      <c r="F27" s="607">
        <f>+UTAMA!G35</f>
        <v>241.06</v>
      </c>
      <c r="G27" s="611">
        <f>+UTAMA!I35</f>
        <v>243.49</v>
      </c>
      <c r="H27" s="609">
        <f>+UTAMA!H35</f>
        <v>0.11700000000000001</v>
      </c>
      <c r="I27" s="612">
        <f>+UTAMA!J35</f>
        <v>0.46200000000000002</v>
      </c>
      <c r="J27" s="610">
        <f t="shared" si="0"/>
        <v>394.87179487179486</v>
      </c>
    </row>
    <row r="28" spans="2:13" ht="15.75" x14ac:dyDescent="0.2">
      <c r="B28" s="601">
        <f t="shared" si="1"/>
        <v>20</v>
      </c>
      <c r="C28" s="604" t="s">
        <v>52</v>
      </c>
      <c r="D28" s="605">
        <v>2000</v>
      </c>
      <c r="E28" s="666">
        <f>UTAMA!F37</f>
        <v>4.3979999999999997</v>
      </c>
      <c r="F28" s="607">
        <f>+UTAMA!G37</f>
        <v>147.5</v>
      </c>
      <c r="G28" s="608">
        <f>+UTAMA!I37</f>
        <v>144.80000000000001</v>
      </c>
      <c r="H28" s="609">
        <f>+UTAMA!H37</f>
        <v>1.827</v>
      </c>
      <c r="I28" s="609">
        <f>+UTAMA!J37</f>
        <v>0.66800000000000004</v>
      </c>
      <c r="J28" s="610">
        <f t="shared" si="0"/>
        <v>36.562671045429667</v>
      </c>
    </row>
    <row r="29" spans="2:13" ht="15.75" x14ac:dyDescent="0.2">
      <c r="B29" s="601">
        <f t="shared" si="1"/>
        <v>21</v>
      </c>
      <c r="C29" s="604" t="s">
        <v>53</v>
      </c>
      <c r="D29" s="605">
        <v>1126</v>
      </c>
      <c r="E29" s="666">
        <f>UTAMA!F38</f>
        <v>3.3109999999999999</v>
      </c>
      <c r="F29" s="607">
        <f>+UTAMA!G38</f>
        <v>201.11</v>
      </c>
      <c r="G29" s="608">
        <f>+UTAMA!I38</f>
        <v>201.96</v>
      </c>
      <c r="H29" s="609">
        <f>+UTAMA!H38</f>
        <v>1.321</v>
      </c>
      <c r="I29" s="609">
        <f>+UTAMA!J38</f>
        <v>1.68</v>
      </c>
      <c r="J29" s="832">
        <f t="shared" si="0"/>
        <v>127.17638152914459</v>
      </c>
    </row>
    <row r="30" spans="2:13" ht="15.75" x14ac:dyDescent="0.2">
      <c r="B30" s="601">
        <f t="shared" si="1"/>
        <v>22</v>
      </c>
      <c r="C30" s="604" t="s">
        <v>54</v>
      </c>
      <c r="D30" s="605">
        <v>1531</v>
      </c>
      <c r="E30" s="666">
        <f>UTAMA!F39</f>
        <v>0.64100000000000001</v>
      </c>
      <c r="F30" s="607">
        <f>+UTAMA!G39</f>
        <v>323.87</v>
      </c>
      <c r="G30" s="611">
        <f>+UTAMA!I39</f>
        <v>322.2</v>
      </c>
      <c r="H30" s="609">
        <f>+UTAMA!H39</f>
        <v>0.48799999999999999</v>
      </c>
      <c r="I30" s="612">
        <f>+UTAMA!J39</f>
        <v>0.34799999999999998</v>
      </c>
      <c r="J30" s="610">
        <f t="shared" si="0"/>
        <v>71.311475409836063</v>
      </c>
    </row>
    <row r="31" spans="2:13" ht="15.75" x14ac:dyDescent="0.2">
      <c r="B31" s="601">
        <f t="shared" si="1"/>
        <v>23</v>
      </c>
      <c r="C31" s="604" t="s">
        <v>55</v>
      </c>
      <c r="D31" s="605">
        <v>358</v>
      </c>
      <c r="E31" s="666">
        <f>UTAMA!F40</f>
        <v>0.71</v>
      </c>
      <c r="F31" s="607">
        <f>+UTAMA!G40</f>
        <v>127.6</v>
      </c>
      <c r="G31" s="611">
        <f>+UTAMA!I40</f>
        <v>128.41999999999999</v>
      </c>
      <c r="H31" s="609">
        <f>+UTAMA!H40</f>
        <v>0.499</v>
      </c>
      <c r="I31" s="612">
        <f>+UTAMA!J40</f>
        <v>0.60499999999999998</v>
      </c>
      <c r="J31" s="610">
        <f t="shared" si="0"/>
        <v>121.24248496993988</v>
      </c>
    </row>
    <row r="32" spans="2:13" ht="15.75" x14ac:dyDescent="0.2">
      <c r="B32" s="601">
        <f t="shared" si="1"/>
        <v>24</v>
      </c>
      <c r="C32" s="604" t="s">
        <v>56</v>
      </c>
      <c r="D32" s="605">
        <v>2488</v>
      </c>
      <c r="E32" s="666">
        <f>UTAMA!F41</f>
        <v>0.48</v>
      </c>
      <c r="F32" s="607">
        <f>+UTAMA!G41</f>
        <v>279.39</v>
      </c>
      <c r="G32" s="608">
        <f>+UTAMA!I41</f>
        <v>279.79000000000002</v>
      </c>
      <c r="H32" s="609">
        <f>+UTAMA!H41</f>
        <v>0.16</v>
      </c>
      <c r="I32" s="612">
        <f>+UTAMA!J41</f>
        <v>0.187</v>
      </c>
      <c r="J32" s="610">
        <f t="shared" si="0"/>
        <v>116.875</v>
      </c>
    </row>
    <row r="33" spans="2:13" ht="15.75" x14ac:dyDescent="0.2">
      <c r="B33" s="601">
        <f t="shared" si="1"/>
        <v>25</v>
      </c>
      <c r="C33" s="604" t="s">
        <v>57</v>
      </c>
      <c r="D33" s="605">
        <v>426</v>
      </c>
      <c r="E33" s="666">
        <f>UTAMA!F42</f>
        <v>2.8849999999999998</v>
      </c>
      <c r="F33" s="607">
        <f>+UTAMA!G42</f>
        <v>97.58</v>
      </c>
      <c r="G33" s="611">
        <f>+UTAMA!I42</f>
        <v>97.83</v>
      </c>
      <c r="H33" s="609">
        <f>+UTAMA!H42</f>
        <v>1.9019999999999999</v>
      </c>
      <c r="I33" s="612">
        <f>+UTAMA!J42</f>
        <v>2.0550000000000002</v>
      </c>
      <c r="J33" s="610">
        <f t="shared" si="0"/>
        <v>108.04416403785491</v>
      </c>
    </row>
    <row r="34" spans="2:13" ht="15.75" x14ac:dyDescent="0.2">
      <c r="B34" s="601">
        <f t="shared" si="1"/>
        <v>26</v>
      </c>
      <c r="C34" s="604" t="s">
        <v>58</v>
      </c>
      <c r="D34" s="605">
        <v>295</v>
      </c>
      <c r="E34" s="666">
        <f>UTAMA!F43</f>
        <v>7.9000000000000001E-2</v>
      </c>
      <c r="F34" s="607">
        <f>+UTAMA!G43</f>
        <v>189.49</v>
      </c>
      <c r="G34" s="611">
        <f>+UTAMA!I43</f>
        <v>188.1</v>
      </c>
      <c r="H34" s="609">
        <f>+UTAMA!H43</f>
        <v>7.4999999999999997E-2</v>
      </c>
      <c r="I34" s="612">
        <f>+UTAMA!J43</f>
        <v>2.8000000000000001E-2</v>
      </c>
      <c r="J34" s="610">
        <f t="shared" si="0"/>
        <v>37.333333333333336</v>
      </c>
    </row>
    <row r="35" spans="2:13" ht="15.75" x14ac:dyDescent="0.2">
      <c r="B35" s="601">
        <f t="shared" si="1"/>
        <v>27</v>
      </c>
      <c r="C35" s="604" t="s">
        <v>59</v>
      </c>
      <c r="D35" s="605">
        <v>708</v>
      </c>
      <c r="E35" s="666">
        <f>UTAMA!F44</f>
        <v>9.6000000000000002E-2</v>
      </c>
      <c r="F35" s="607">
        <f>+UTAMA!G44</f>
        <v>169.79</v>
      </c>
      <c r="G35" s="611">
        <f>+UTAMA!I44</f>
        <v>170.64</v>
      </c>
      <c r="H35" s="609">
        <f>+UTAMA!H44</f>
        <v>6.3E-2</v>
      </c>
      <c r="I35" s="612">
        <f>+UTAMA!J44</f>
        <v>8.4000000000000005E-2</v>
      </c>
      <c r="J35" s="610">
        <f t="shared" si="0"/>
        <v>133.33333333333334</v>
      </c>
    </row>
    <row r="36" spans="2:13" ht="15.75" x14ac:dyDescent="0.2">
      <c r="B36" s="601">
        <f t="shared" si="1"/>
        <v>28</v>
      </c>
      <c r="C36" s="604" t="s">
        <v>60</v>
      </c>
      <c r="D36" s="605">
        <v>1567</v>
      </c>
      <c r="E36" s="666">
        <f>UTAMA!F45</f>
        <v>9.8740000000000006</v>
      </c>
      <c r="F36" s="607">
        <f>+UTAMA!G45</f>
        <v>139.34</v>
      </c>
      <c r="G36" s="608">
        <f>+UTAMA!I45</f>
        <v>139.32</v>
      </c>
      <c r="H36" s="609">
        <f>+UTAMA!H45</f>
        <v>6.4870000000000001</v>
      </c>
      <c r="I36" s="609">
        <f>+UTAMA!J45</f>
        <v>6.4329999999999998</v>
      </c>
      <c r="J36" s="610">
        <f t="shared" si="0"/>
        <v>99.16756590103283</v>
      </c>
    </row>
    <row r="37" spans="2:13" ht="15.75" x14ac:dyDescent="0.2">
      <c r="B37" s="601">
        <f t="shared" si="1"/>
        <v>29</v>
      </c>
      <c r="C37" s="604" t="s">
        <v>61</v>
      </c>
      <c r="D37" s="605">
        <v>1353</v>
      </c>
      <c r="E37" s="666">
        <f>UTAMA!F46</f>
        <v>2.6720000000000002</v>
      </c>
      <c r="F37" s="607">
        <f>+UTAMA!G46</f>
        <v>237.78</v>
      </c>
      <c r="G37" s="608">
        <f>+UTAMA!I46</f>
        <v>238.7</v>
      </c>
      <c r="H37" s="609">
        <f>+UTAMA!H46</f>
        <v>1.746</v>
      </c>
      <c r="I37" s="609">
        <f>+UTAMA!J46</f>
        <v>2.2440000000000002</v>
      </c>
      <c r="J37" s="610">
        <f t="shared" si="0"/>
        <v>128.52233676975945</v>
      </c>
    </row>
    <row r="38" spans="2:13" ht="15.75" x14ac:dyDescent="0.2">
      <c r="B38" s="601">
        <f t="shared" si="1"/>
        <v>30</v>
      </c>
      <c r="C38" s="604" t="s">
        <v>62</v>
      </c>
      <c r="D38" s="605">
        <v>53</v>
      </c>
      <c r="E38" s="666">
        <f>UTAMA!F47</f>
        <v>4.1539999999999999</v>
      </c>
      <c r="F38" s="607">
        <f>+UTAMA!G47</f>
        <v>118.34</v>
      </c>
      <c r="G38" s="608">
        <f>+UTAMA!I47</f>
        <v>118.26</v>
      </c>
      <c r="H38" s="609">
        <f>+UTAMA!H47</f>
        <v>2.1789999999999998</v>
      </c>
      <c r="I38" s="609">
        <f>+UTAMA!J47</f>
        <v>2.0470000000000002</v>
      </c>
      <c r="J38" s="610">
        <f t="shared" si="0"/>
        <v>93.942175309775138</v>
      </c>
    </row>
    <row r="39" spans="2:13" ht="15.75" x14ac:dyDescent="0.2">
      <c r="B39" s="601">
        <f t="shared" si="1"/>
        <v>31</v>
      </c>
      <c r="C39" s="604" t="s">
        <v>63</v>
      </c>
      <c r="D39" s="605">
        <v>51</v>
      </c>
      <c r="E39" s="666">
        <f>UTAMA!F48</f>
        <v>2.75</v>
      </c>
      <c r="F39" s="607">
        <f>+UTAMA!G48</f>
        <v>109.74</v>
      </c>
      <c r="G39" s="608">
        <f>+UTAMA!I48</f>
        <v>110.03</v>
      </c>
      <c r="H39" s="609">
        <f>+UTAMA!H48</f>
        <v>1.4930000000000001</v>
      </c>
      <c r="I39" s="609">
        <f>+UTAMA!J48</f>
        <v>1.744</v>
      </c>
      <c r="J39" s="610">
        <f t="shared" si="0"/>
        <v>116.81178834561285</v>
      </c>
    </row>
    <row r="40" spans="2:13" ht="16.5" thickBot="1" x14ac:dyDescent="0.25">
      <c r="B40" s="613"/>
      <c r="C40" s="614" t="s">
        <v>89</v>
      </c>
      <c r="D40" s="615">
        <f>SUM(D9:D39)</f>
        <v>63083</v>
      </c>
      <c r="E40" s="616">
        <f>SUM(E9:E39)</f>
        <v>83.753999999999976</v>
      </c>
      <c r="F40" s="617"/>
      <c r="G40" s="617"/>
      <c r="H40" s="618">
        <f>SUM(H9:H39)</f>
        <v>47.433000000000007</v>
      </c>
      <c r="I40" s="619">
        <f>SUM(I9:I39)</f>
        <v>48.60499999999999</v>
      </c>
      <c r="J40" s="620">
        <f>+I40/H40*100%*100</f>
        <v>102.47085362511328</v>
      </c>
    </row>
    <row r="41" spans="2:13" ht="16.5" thickBot="1" x14ac:dyDescent="0.25">
      <c r="B41" s="621" t="s">
        <v>68</v>
      </c>
      <c r="C41" s="622" t="s">
        <v>69</v>
      </c>
      <c r="D41" s="622"/>
      <c r="E41" s="623"/>
      <c r="F41" s="624"/>
      <c r="G41" s="624"/>
      <c r="H41" s="625" t="s">
        <v>95</v>
      </c>
      <c r="I41" s="626">
        <f>+I40/H40*100%</f>
        <v>1.0247085362511328</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21</v>
      </c>
    </row>
    <row r="45" spans="2:13" ht="15" x14ac:dyDescent="0.2">
      <c r="B45" s="628"/>
      <c r="C45" s="630" t="s">
        <v>100</v>
      </c>
      <c r="D45" s="630"/>
      <c r="E45" s="631" t="s">
        <v>98</v>
      </c>
      <c r="F45" s="630" t="s">
        <v>101</v>
      </c>
      <c r="G45" s="630"/>
      <c r="H45" s="630"/>
      <c r="I45" s="632" t="s">
        <v>176</v>
      </c>
      <c r="J45" s="633">
        <f>COUNTIFS(J9:J39,"&gt;=85",J9:J39,"&lt;=100")</f>
        <v>3</v>
      </c>
    </row>
    <row r="46" spans="2:13" ht="15" x14ac:dyDescent="0.2">
      <c r="B46" s="628"/>
      <c r="C46" s="630" t="s">
        <v>102</v>
      </c>
      <c r="D46" s="630"/>
      <c r="E46" s="631" t="s">
        <v>98</v>
      </c>
      <c r="F46" s="630" t="s">
        <v>103</v>
      </c>
      <c r="G46" s="630"/>
      <c r="H46" s="630"/>
      <c r="I46" s="632" t="s">
        <v>176</v>
      </c>
      <c r="J46" s="254">
        <f>COUNTIFS(J9:J39,"&gt;0",J9:J39,"&lt;=85")</f>
        <v>7</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16" priority="1" stopIfTrue="1" operator="equal">
      <formula>0</formula>
    </cfRule>
    <cfRule type="cellIs" dxfId="15" priority="2" stopIfTrue="1" operator="lessThan">
      <formula>84</formula>
    </cfRule>
    <cfRule type="cellIs" dxfId="14" priority="3" stopIfTrue="1" operator="between">
      <formula>85</formula>
      <formula>100</formula>
    </cfRule>
    <cfRule type="cellIs" dxfId="13" priority="4" stopIfTrue="1" operator="equal">
      <formula>0</formula>
    </cfRule>
    <cfRule type="cellIs" dxfId="12" priority="5" stopIfTrue="1" operator="greaterThan">
      <formula>100</formula>
    </cfRule>
    <cfRule type="cellIs" dxfId="11" priority="6" stopIfTrue="1" operator="between">
      <formula>85</formula>
      <formula>100</formula>
    </cfRule>
  </conditionalFormatting>
  <conditionalFormatting sqref="J30:J39">
    <cfRule type="cellIs" dxfId="10" priority="7" stopIfTrue="1" operator="greaterThan">
      <formula>100</formula>
    </cfRule>
    <cfRule type="cellIs" dxfId="9"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6"/>
  <sheetViews>
    <sheetView showGridLines="0" topLeftCell="A19" zoomScale="90" zoomScaleNormal="90" workbookViewId="0">
      <selection activeCell="M26" sqref="M26"/>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0" t="s">
        <v>158</v>
      </c>
      <c r="C2" s="930"/>
      <c r="D2" s="930"/>
      <c r="E2" s="930"/>
      <c r="F2" s="930"/>
      <c r="G2" s="930"/>
      <c r="H2" s="930"/>
      <c r="I2" s="930"/>
      <c r="J2" s="930"/>
    </row>
    <row r="3" spans="2:10" ht="15.75" x14ac:dyDescent="0.2">
      <c r="B3" s="930" t="s">
        <v>252</v>
      </c>
      <c r="C3" s="930"/>
      <c r="D3" s="930"/>
      <c r="E3" s="930"/>
      <c r="F3" s="930"/>
      <c r="G3" s="930"/>
      <c r="H3" s="930"/>
      <c r="I3" s="930"/>
      <c r="J3" s="930"/>
    </row>
    <row r="4" spans="2:10" ht="15.75" x14ac:dyDescent="0.2">
      <c r="B4" s="930" t="str">
        <f>+UTAMA!B4</f>
        <v xml:space="preserve">MINGGU KE III JUNI ( 18 JUNI S/D 24 JUNI 2024 ) dalam Juta m3 </v>
      </c>
      <c r="C4" s="930"/>
      <c r="D4" s="930"/>
      <c r="E4" s="930"/>
      <c r="F4" s="930"/>
      <c r="G4" s="930"/>
      <c r="H4" s="930"/>
      <c r="I4" s="930"/>
      <c r="J4" s="930"/>
    </row>
    <row r="5" spans="2:10" ht="13.5" customHeight="1" thickBot="1" x14ac:dyDescent="0.25"/>
    <row r="6" spans="2:10" ht="21" customHeight="1" x14ac:dyDescent="0.2">
      <c r="B6" s="933" t="s">
        <v>18</v>
      </c>
      <c r="C6" s="931" t="s">
        <v>270</v>
      </c>
      <c r="D6" s="250" t="s">
        <v>105</v>
      </c>
      <c r="E6" s="251" t="s">
        <v>25</v>
      </c>
      <c r="F6" s="935" t="s">
        <v>106</v>
      </c>
      <c r="G6" s="936"/>
      <c r="H6" s="937" t="s">
        <v>159</v>
      </c>
      <c r="I6" s="938"/>
      <c r="J6" s="252" t="s">
        <v>69</v>
      </c>
    </row>
    <row r="7" spans="2:10" ht="18" customHeight="1" x14ac:dyDescent="0.2">
      <c r="B7" s="934"/>
      <c r="C7" s="932"/>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339.5</v>
      </c>
      <c r="H9" s="609">
        <f>+UTAMA!H12</f>
        <v>7.77</v>
      </c>
      <c r="I9" s="609">
        <f>+UTAMA!J12</f>
        <v>7.77</v>
      </c>
      <c r="J9" s="610">
        <f t="shared" ref="J9:J39" si="0">IFERROR(+I9/H9*100%*100,0)</f>
        <v>100</v>
      </c>
    </row>
    <row r="10" spans="2:10" ht="15.75" x14ac:dyDescent="0.2">
      <c r="B10" s="601">
        <f>1+B9</f>
        <v>2</v>
      </c>
      <c r="C10" s="604" t="s">
        <v>32</v>
      </c>
      <c r="D10" s="605">
        <v>4959</v>
      </c>
      <c r="E10" s="606">
        <f>UTAMA!F15</f>
        <v>9.5030000000000001</v>
      </c>
      <c r="F10" s="607">
        <f>+UTAMA!G15</f>
        <v>206.17</v>
      </c>
      <c r="G10" s="608">
        <f>+UTAMA!I15</f>
        <v>207.01</v>
      </c>
      <c r="H10" s="609">
        <f>+UTAMA!H15</f>
        <v>8.5139999999999993</v>
      </c>
      <c r="I10" s="609">
        <f>UTAMA!J15</f>
        <v>8.6530000000000005</v>
      </c>
      <c r="J10" s="610">
        <f t="shared" si="0"/>
        <v>101.63260512097723</v>
      </c>
    </row>
    <row r="11" spans="2:10" ht="15.75" x14ac:dyDescent="0.2">
      <c r="B11" s="601">
        <f t="shared" ref="B11:B39" si="1">+B10+1</f>
        <v>3</v>
      </c>
      <c r="C11" s="604" t="s">
        <v>33</v>
      </c>
      <c r="D11" s="605">
        <v>6052</v>
      </c>
      <c r="E11" s="606">
        <f>UTAMA!F16</f>
        <v>5.1509999999999998</v>
      </c>
      <c r="F11" s="607">
        <f>+UTAMA!G16</f>
        <v>316.10000000000002</v>
      </c>
      <c r="G11" s="608">
        <f>+UTAMA!I16</f>
        <v>316.42</v>
      </c>
      <c r="H11" s="609">
        <f>+UTAMA!H16</f>
        <v>3.4119999999999999</v>
      </c>
      <c r="I11" s="609">
        <f>UTAMA!J16</f>
        <v>3.5019999999999998</v>
      </c>
      <c r="J11" s="610">
        <f t="shared" si="0"/>
        <v>102.6377491207503</v>
      </c>
    </row>
    <row r="12" spans="2:10" ht="15.75" x14ac:dyDescent="0.2">
      <c r="B12" s="601">
        <f t="shared" si="1"/>
        <v>4</v>
      </c>
      <c r="C12" s="604" t="s">
        <v>35</v>
      </c>
      <c r="D12" s="605">
        <v>923</v>
      </c>
      <c r="E12" s="606">
        <f>UTAMA!F19</f>
        <v>2.0920000000000001</v>
      </c>
      <c r="F12" s="607">
        <f>+UTAMA!G19</f>
        <v>115.82</v>
      </c>
      <c r="G12" s="611">
        <f>+UTAMA!I19</f>
        <v>115.98</v>
      </c>
      <c r="H12" s="609">
        <f>+UTAMA!H19</f>
        <v>0.29799999999999999</v>
      </c>
      <c r="I12" s="612">
        <f>UTAMA!J19</f>
        <v>0.32400000000000001</v>
      </c>
      <c r="J12" s="610">
        <f t="shared" si="0"/>
        <v>108.7248322147651</v>
      </c>
    </row>
    <row r="13" spans="2:10" ht="15.75" x14ac:dyDescent="0.2">
      <c r="B13" s="601">
        <f t="shared" si="1"/>
        <v>5</v>
      </c>
      <c r="C13" s="604" t="s">
        <v>36</v>
      </c>
      <c r="D13" s="605">
        <v>251</v>
      </c>
      <c r="E13" s="606">
        <f>UTAMA!F20</f>
        <v>2.3530000000000002</v>
      </c>
      <c r="F13" s="607">
        <f>+UTAMA!G20</f>
        <v>117.38</v>
      </c>
      <c r="G13" s="611">
        <f>+UTAMA!I20</f>
        <v>117.63</v>
      </c>
      <c r="H13" s="609">
        <f>+UTAMA!H20</f>
        <v>0.59299999999999997</v>
      </c>
      <c r="I13" s="612">
        <f>UTAMA!J20</f>
        <v>0.61</v>
      </c>
      <c r="J13" s="610">
        <f t="shared" si="0"/>
        <v>102.86677908937605</v>
      </c>
    </row>
    <row r="14" spans="2:10" ht="15.75" x14ac:dyDescent="0.2">
      <c r="B14" s="601">
        <f t="shared" si="1"/>
        <v>6</v>
      </c>
      <c r="C14" s="604" t="s">
        <v>37</v>
      </c>
      <c r="D14" s="605">
        <v>440</v>
      </c>
      <c r="E14" s="606">
        <f>UTAMA!F21</f>
        <v>4.5999999999999996</v>
      </c>
      <c r="F14" s="607">
        <f>+UTAMA!G21</f>
        <v>44.17</v>
      </c>
      <c r="G14" s="611">
        <f>+UTAMA!I21</f>
        <v>44.36</v>
      </c>
      <c r="H14" s="609">
        <f>+UTAMA!H21</f>
        <v>4.2270000000000003</v>
      </c>
      <c r="I14" s="612">
        <f>UTAMA!J21</f>
        <v>4.2830000000000004</v>
      </c>
      <c r="J14" s="610">
        <f t="shared" si="0"/>
        <v>101.32481665483795</v>
      </c>
    </row>
    <row r="15" spans="2:10" ht="15.75" x14ac:dyDescent="0.2">
      <c r="B15" s="601">
        <f t="shared" si="1"/>
        <v>7</v>
      </c>
      <c r="C15" s="604" t="s">
        <v>39</v>
      </c>
      <c r="D15" s="605">
        <v>775</v>
      </c>
      <c r="E15" s="606">
        <f>UTAMA!F22</f>
        <v>2.4159999999999999</v>
      </c>
      <c r="F15" s="607">
        <f>+UTAMA!G22</f>
        <v>43.93</v>
      </c>
      <c r="G15" s="608">
        <f>+UTAMA!I22</f>
        <v>50.55</v>
      </c>
      <c r="H15" s="609">
        <f>+UTAMA!H22</f>
        <v>2.0150000000000001</v>
      </c>
      <c r="I15" s="609">
        <f>UTAMA!J22</f>
        <v>2.1440000000000001</v>
      </c>
      <c r="J15" s="610">
        <f t="shared" si="0"/>
        <v>106.40198511166253</v>
      </c>
    </row>
    <row r="16" spans="2:10" ht="15.75" x14ac:dyDescent="0.2">
      <c r="B16" s="601">
        <f t="shared" si="1"/>
        <v>8</v>
      </c>
      <c r="C16" s="604" t="s">
        <v>40</v>
      </c>
      <c r="D16" s="605">
        <v>750</v>
      </c>
      <c r="E16" s="606">
        <f>UTAMA!F23</f>
        <v>1.093</v>
      </c>
      <c r="F16" s="607">
        <f>+UTAMA!G23</f>
        <v>74.2</v>
      </c>
      <c r="G16" s="608">
        <f>+UTAMA!I23</f>
        <v>74.5</v>
      </c>
      <c r="H16" s="609">
        <f>+UTAMA!H23</f>
        <v>0.38100000000000001</v>
      </c>
      <c r="I16" s="609">
        <f>UTAMA!J23</f>
        <v>0.42699999999999999</v>
      </c>
      <c r="J16" s="610">
        <f t="shared" si="0"/>
        <v>112.07349081364828</v>
      </c>
    </row>
    <row r="17" spans="2:13" ht="15.75" x14ac:dyDescent="0.2">
      <c r="B17" s="601">
        <f t="shared" si="1"/>
        <v>9</v>
      </c>
      <c r="C17" s="604" t="s">
        <v>41</v>
      </c>
      <c r="D17" s="605">
        <v>482</v>
      </c>
      <c r="E17" s="606">
        <v>0.42899999999999999</v>
      </c>
      <c r="F17" s="607">
        <f>+UTAMA!G24</f>
        <v>80.11</v>
      </c>
      <c r="G17" s="608">
        <f>+UTAMA!I24</f>
        <v>80.22</v>
      </c>
      <c r="H17" s="609">
        <f>+UTAMA!H24</f>
        <v>8.0000000000000002E-3</v>
      </c>
      <c r="I17" s="609">
        <f>UTAMA!J24</f>
        <v>1.0999999999999999E-2</v>
      </c>
      <c r="J17" s="610">
        <f t="shared" si="0"/>
        <v>137.5</v>
      </c>
    </row>
    <row r="18" spans="2:13" ht="15.75" x14ac:dyDescent="0.2">
      <c r="B18" s="601">
        <f t="shared" si="1"/>
        <v>10</v>
      </c>
      <c r="C18" s="604" t="s">
        <v>42</v>
      </c>
      <c r="D18" s="605">
        <v>366</v>
      </c>
      <c r="E18" s="606">
        <f>UTAMA!F25</f>
        <v>0.25</v>
      </c>
      <c r="F18" s="607">
        <f>+UTAMA!G25</f>
        <v>61.7</v>
      </c>
      <c r="G18" s="611">
        <f>+UTAMA!I25</f>
        <v>62.04</v>
      </c>
      <c r="H18" s="609">
        <f>+UTAMA!H25</f>
        <v>5.1999999999999998E-2</v>
      </c>
      <c r="I18" s="612">
        <f>UTAMA!J25</f>
        <v>6.5000000000000002E-2</v>
      </c>
      <c r="J18" s="832">
        <f t="shared" si="0"/>
        <v>125</v>
      </c>
    </row>
    <row r="19" spans="2:13" ht="15.75" x14ac:dyDescent="0.2">
      <c r="B19" s="601">
        <f>+B18+1</f>
        <v>11</v>
      </c>
      <c r="C19" s="604" t="s">
        <v>43</v>
      </c>
      <c r="D19" s="605">
        <v>260</v>
      </c>
      <c r="E19" s="606">
        <f>UTAMA!F26</f>
        <v>0.38500000000000001</v>
      </c>
      <c r="F19" s="607">
        <f>+UTAMA!G26</f>
        <v>45.06</v>
      </c>
      <c r="G19" s="611">
        <f>+UTAMA!I26</f>
        <v>45.3</v>
      </c>
      <c r="H19" s="609">
        <f>+UTAMA!H26</f>
        <v>0.13700000000000001</v>
      </c>
      <c r="I19" s="612">
        <f>UTAMA!J26</f>
        <v>0.16</v>
      </c>
      <c r="J19" s="610">
        <f t="shared" si="0"/>
        <v>116.7883211678832</v>
      </c>
    </row>
    <row r="20" spans="2:13" ht="15.75" x14ac:dyDescent="0.2">
      <c r="B20" s="815">
        <f t="shared" ref="B20:B21" si="2">+B19+1</f>
        <v>12</v>
      </c>
      <c r="C20" s="604" t="s">
        <v>335</v>
      </c>
      <c r="D20" s="825">
        <v>4680</v>
      </c>
      <c r="E20" s="826">
        <f>UTAMA!F36</f>
        <v>9.15</v>
      </c>
      <c r="F20" s="827">
        <f>UTAMA!G39</f>
        <v>323.87</v>
      </c>
      <c r="G20" s="828">
        <f>UTAMA!I39</f>
        <v>322.2</v>
      </c>
      <c r="H20" s="829">
        <f>UTAMA!H39</f>
        <v>0.48799999999999999</v>
      </c>
      <c r="I20" s="609">
        <f>UTAMA!J39</f>
        <v>0.34799999999999998</v>
      </c>
      <c r="J20" s="610">
        <f t="shared" si="0"/>
        <v>71.311475409836063</v>
      </c>
    </row>
    <row r="21" spans="2:13" ht="15.75" x14ac:dyDescent="0.2">
      <c r="B21" s="601">
        <f t="shared" si="2"/>
        <v>13</v>
      </c>
      <c r="C21" s="604" t="s">
        <v>45</v>
      </c>
      <c r="D21" s="605">
        <v>340</v>
      </c>
      <c r="E21" s="666">
        <f>UTAMA!F29</f>
        <v>2.3410000000000002</v>
      </c>
      <c r="F21" s="607">
        <f>+UTAMA!G29</f>
        <v>108.45</v>
      </c>
      <c r="G21" s="611">
        <f>+UTAMA!I29</f>
        <v>110.34</v>
      </c>
      <c r="H21" s="609">
        <f>+UTAMA!H29</f>
        <v>0.54100000000000004</v>
      </c>
      <c r="I21" s="612">
        <f>+UTAMA!J29</f>
        <v>1.0760000000000001</v>
      </c>
      <c r="J21" s="610">
        <f t="shared" si="0"/>
        <v>198.89094269870611</v>
      </c>
      <c r="M21" s="798"/>
    </row>
    <row r="22" spans="2:13" ht="15.75" x14ac:dyDescent="0.2">
      <c r="B22" s="601">
        <f>+B21+1</f>
        <v>14</v>
      </c>
      <c r="C22" s="604" t="s">
        <v>46</v>
      </c>
      <c r="D22" s="605">
        <v>392</v>
      </c>
      <c r="E22" s="666">
        <f>UTAMA!F30</f>
        <v>0.32300000000000001</v>
      </c>
      <c r="F22" s="607">
        <f>+UTAMA!G30</f>
        <v>201.26</v>
      </c>
      <c r="G22" s="611">
        <f>+UTAMA!I30</f>
        <v>200.08</v>
      </c>
      <c r="H22" s="609">
        <f>+UTAMA!H30</f>
        <v>8.7999999999999995E-2</v>
      </c>
      <c r="I22" s="612">
        <f>+UTAMA!J30</f>
        <v>3.2000000000000001E-2</v>
      </c>
      <c r="J22" s="610">
        <f t="shared" si="0"/>
        <v>36.363636363636367</v>
      </c>
    </row>
    <row r="23" spans="2:13" ht="15.75" x14ac:dyDescent="0.2">
      <c r="B23" s="601">
        <f t="shared" si="1"/>
        <v>15</v>
      </c>
      <c r="C23" s="604" t="s">
        <v>47</v>
      </c>
      <c r="D23" s="605">
        <v>394</v>
      </c>
      <c r="E23" s="666">
        <f>UTAMA!F31</f>
        <v>0.42899999999999999</v>
      </c>
      <c r="F23" s="607">
        <f>+UTAMA!G31</f>
        <v>220.03</v>
      </c>
      <c r="G23" s="611">
        <f>+UTAMA!I31</f>
        <v>219.07</v>
      </c>
      <c r="H23" s="609">
        <f>+UTAMA!H31</f>
        <v>0.153</v>
      </c>
      <c r="I23" s="612">
        <f>+UTAMA!J31</f>
        <v>0.107</v>
      </c>
      <c r="J23" s="610">
        <f t="shared" si="0"/>
        <v>69.93464052287581</v>
      </c>
    </row>
    <row r="24" spans="2:13" ht="15.75" x14ac:dyDescent="0.2">
      <c r="B24" s="601">
        <f t="shared" si="1"/>
        <v>16</v>
      </c>
      <c r="C24" s="604" t="s">
        <v>48</v>
      </c>
      <c r="D24" s="605">
        <v>707</v>
      </c>
      <c r="E24" s="666">
        <f>UTAMA!F32</f>
        <v>0.77100000000000002</v>
      </c>
      <c r="F24" s="607">
        <f>+UTAMA!G32</f>
        <v>192.8</v>
      </c>
      <c r="G24" s="611">
        <f>+UTAMA!I32</f>
        <v>192.18</v>
      </c>
      <c r="H24" s="609">
        <f>+UTAMA!H32</f>
        <v>0.251</v>
      </c>
      <c r="I24" s="612">
        <f>+UTAMA!J32</f>
        <v>0.16200000000000001</v>
      </c>
      <c r="J24" s="610">
        <f t="shared" si="0"/>
        <v>64.541832669322702</v>
      </c>
    </row>
    <row r="25" spans="2:13" ht="15.75" x14ac:dyDescent="0.2">
      <c r="B25" s="601">
        <f>+B24+1</f>
        <v>17</v>
      </c>
      <c r="C25" s="604" t="s">
        <v>49</v>
      </c>
      <c r="D25" s="605">
        <v>92</v>
      </c>
      <c r="E25" s="666">
        <f>UTAMA!F33</f>
        <v>0.22600000000000001</v>
      </c>
      <c r="F25" s="607">
        <f>+UTAMA!G33</f>
        <v>162.19</v>
      </c>
      <c r="G25" s="611">
        <f>+UTAMA!I33</f>
        <v>164.73</v>
      </c>
      <c r="H25" s="609">
        <f>+UTAMA!H33</f>
        <v>0.02</v>
      </c>
      <c r="I25" s="612">
        <f>+UTAMA!J33</f>
        <v>0.20399999999999999</v>
      </c>
      <c r="J25" s="610">
        <f t="shared" si="0"/>
        <v>1019.9999999999999</v>
      </c>
    </row>
    <row r="26" spans="2:13" ht="15.75" x14ac:dyDescent="0.2">
      <c r="B26" s="601">
        <f t="shared" si="1"/>
        <v>18</v>
      </c>
      <c r="C26" s="604" t="s">
        <v>50</v>
      </c>
      <c r="D26" s="605">
        <v>319</v>
      </c>
      <c r="E26" s="666">
        <f>UTAMA!F34</f>
        <v>0.71399999999999997</v>
      </c>
      <c r="F26" s="607">
        <f>+UTAMA!G34</f>
        <v>221.39</v>
      </c>
      <c r="G26" s="611">
        <f>+UTAMA!I34</f>
        <v>221.67</v>
      </c>
      <c r="H26" s="609">
        <f>+UTAMA!H34</f>
        <v>0.128</v>
      </c>
      <c r="I26" s="612">
        <f>+UTAMA!J34</f>
        <v>0.14199999999999999</v>
      </c>
      <c r="J26" s="610">
        <f t="shared" si="0"/>
        <v>110.93749999999997</v>
      </c>
    </row>
    <row r="27" spans="2:13" ht="15.75" x14ac:dyDescent="0.2">
      <c r="B27" s="601">
        <f t="shared" si="1"/>
        <v>19</v>
      </c>
      <c r="C27" s="604" t="s">
        <v>51</v>
      </c>
      <c r="D27" s="605">
        <v>635</v>
      </c>
      <c r="E27" s="666">
        <f>UTAMA!F35</f>
        <v>1.708</v>
      </c>
      <c r="F27" s="607">
        <f>+UTAMA!G35</f>
        <v>241.06</v>
      </c>
      <c r="G27" s="611">
        <f>+UTAMA!I35</f>
        <v>243.49</v>
      </c>
      <c r="H27" s="609">
        <f>+UTAMA!H35</f>
        <v>0.11700000000000001</v>
      </c>
      <c r="I27" s="612">
        <f>+UTAMA!J35</f>
        <v>0.46200000000000002</v>
      </c>
      <c r="J27" s="610">
        <f t="shared" si="0"/>
        <v>394.87179487179486</v>
      </c>
    </row>
    <row r="28" spans="2:13" ht="15.75" x14ac:dyDescent="0.2">
      <c r="B28" s="601">
        <f t="shared" si="1"/>
        <v>20</v>
      </c>
      <c r="C28" s="604" t="s">
        <v>52</v>
      </c>
      <c r="D28" s="605">
        <v>2000</v>
      </c>
      <c r="E28" s="666">
        <f>UTAMA!F37</f>
        <v>4.3979999999999997</v>
      </c>
      <c r="F28" s="607">
        <f>+UTAMA!G37</f>
        <v>147.5</v>
      </c>
      <c r="G28" s="608">
        <f>+UTAMA!I37</f>
        <v>144.80000000000001</v>
      </c>
      <c r="H28" s="609">
        <f>+UTAMA!H37</f>
        <v>1.827</v>
      </c>
      <c r="I28" s="609">
        <f>+UTAMA!J37</f>
        <v>0.66800000000000004</v>
      </c>
      <c r="J28" s="610">
        <f t="shared" si="0"/>
        <v>36.562671045429667</v>
      </c>
    </row>
    <row r="29" spans="2:13" ht="15.75" x14ac:dyDescent="0.2">
      <c r="B29" s="601">
        <f t="shared" si="1"/>
        <v>21</v>
      </c>
      <c r="C29" s="604" t="s">
        <v>53</v>
      </c>
      <c r="D29" s="605">
        <v>1126</v>
      </c>
      <c r="E29" s="666">
        <f>UTAMA!F38</f>
        <v>3.3109999999999999</v>
      </c>
      <c r="F29" s="607">
        <f>+UTAMA!G38</f>
        <v>201.11</v>
      </c>
      <c r="G29" s="608">
        <f>+UTAMA!I38</f>
        <v>201.96</v>
      </c>
      <c r="H29" s="609">
        <f>+UTAMA!H38</f>
        <v>1.321</v>
      </c>
      <c r="I29" s="609">
        <f>+UTAMA!J38</f>
        <v>1.68</v>
      </c>
      <c r="J29" s="610">
        <f t="shared" si="0"/>
        <v>127.17638152914459</v>
      </c>
    </row>
    <row r="30" spans="2:13" ht="15.75" x14ac:dyDescent="0.2">
      <c r="B30" s="601">
        <f t="shared" si="1"/>
        <v>22</v>
      </c>
      <c r="C30" s="604" t="s">
        <v>54</v>
      </c>
      <c r="D30" s="605">
        <v>1531</v>
      </c>
      <c r="E30" s="666">
        <f>UTAMA!F39</f>
        <v>0.64100000000000001</v>
      </c>
      <c r="F30" s="607">
        <f>+UTAMA!G39</f>
        <v>323.87</v>
      </c>
      <c r="G30" s="611">
        <f>+UTAMA!I39</f>
        <v>322.2</v>
      </c>
      <c r="H30" s="609">
        <f>+UTAMA!H39</f>
        <v>0.48799999999999999</v>
      </c>
      <c r="I30" s="612">
        <f>+UTAMA!J39</f>
        <v>0.34799999999999998</v>
      </c>
      <c r="J30" s="610">
        <f t="shared" si="0"/>
        <v>71.311475409836063</v>
      </c>
    </row>
    <row r="31" spans="2:13" ht="15.75" x14ac:dyDescent="0.2">
      <c r="B31" s="601">
        <f t="shared" si="1"/>
        <v>23</v>
      </c>
      <c r="C31" s="604" t="s">
        <v>55</v>
      </c>
      <c r="D31" s="605">
        <v>358</v>
      </c>
      <c r="E31" s="666">
        <f>UTAMA!F40</f>
        <v>0.71</v>
      </c>
      <c r="F31" s="607">
        <f>+UTAMA!G40</f>
        <v>127.6</v>
      </c>
      <c r="G31" s="611">
        <f>+UTAMA!I40</f>
        <v>128.41999999999999</v>
      </c>
      <c r="H31" s="609">
        <f>+UTAMA!H40</f>
        <v>0.499</v>
      </c>
      <c r="I31" s="612">
        <f>+UTAMA!J40</f>
        <v>0.60499999999999998</v>
      </c>
      <c r="J31" s="610">
        <f t="shared" si="0"/>
        <v>121.24248496993988</v>
      </c>
    </row>
    <row r="32" spans="2:13" ht="15.75" x14ac:dyDescent="0.2">
      <c r="B32" s="601">
        <f t="shared" si="1"/>
        <v>24</v>
      </c>
      <c r="C32" s="604" t="s">
        <v>56</v>
      </c>
      <c r="D32" s="605">
        <v>2488</v>
      </c>
      <c r="E32" s="666">
        <f>UTAMA!F41</f>
        <v>0.48</v>
      </c>
      <c r="F32" s="607">
        <f>+UTAMA!G41</f>
        <v>279.39</v>
      </c>
      <c r="G32" s="608">
        <f>+UTAMA!I41</f>
        <v>279.79000000000002</v>
      </c>
      <c r="H32" s="609">
        <f>+UTAMA!H41</f>
        <v>0.16</v>
      </c>
      <c r="I32" s="612">
        <f>+UTAMA!J41</f>
        <v>0.187</v>
      </c>
      <c r="J32" s="610">
        <f t="shared" si="0"/>
        <v>116.875</v>
      </c>
    </row>
    <row r="33" spans="2:13" ht="15.75" x14ac:dyDescent="0.2">
      <c r="B33" s="601">
        <f t="shared" si="1"/>
        <v>25</v>
      </c>
      <c r="C33" s="604" t="s">
        <v>57</v>
      </c>
      <c r="D33" s="605">
        <v>426</v>
      </c>
      <c r="E33" s="666">
        <f>UTAMA!F42</f>
        <v>2.8849999999999998</v>
      </c>
      <c r="F33" s="607">
        <f>+UTAMA!G42</f>
        <v>97.58</v>
      </c>
      <c r="G33" s="611">
        <f>+UTAMA!I42</f>
        <v>97.83</v>
      </c>
      <c r="H33" s="609">
        <f>+UTAMA!H42</f>
        <v>1.9019999999999999</v>
      </c>
      <c r="I33" s="612">
        <f>+UTAMA!J42</f>
        <v>2.0550000000000002</v>
      </c>
      <c r="J33" s="610">
        <f t="shared" si="0"/>
        <v>108.04416403785491</v>
      </c>
    </row>
    <row r="34" spans="2:13" ht="15.75" x14ac:dyDescent="0.2">
      <c r="B34" s="601">
        <f t="shared" si="1"/>
        <v>26</v>
      </c>
      <c r="C34" s="604" t="s">
        <v>58</v>
      </c>
      <c r="D34" s="605">
        <v>295</v>
      </c>
      <c r="E34" s="666">
        <f>UTAMA!F43</f>
        <v>7.9000000000000001E-2</v>
      </c>
      <c r="F34" s="607">
        <f>+UTAMA!G43</f>
        <v>189.49</v>
      </c>
      <c r="G34" s="611">
        <f>+UTAMA!I43</f>
        <v>188.1</v>
      </c>
      <c r="H34" s="609">
        <f>+UTAMA!H43</f>
        <v>7.4999999999999997E-2</v>
      </c>
      <c r="I34" s="612">
        <f>+UTAMA!J43</f>
        <v>2.8000000000000001E-2</v>
      </c>
      <c r="J34" s="610">
        <f t="shared" si="0"/>
        <v>37.333333333333336</v>
      </c>
    </row>
    <row r="35" spans="2:13" ht="15.75" x14ac:dyDescent="0.2">
      <c r="B35" s="601">
        <f t="shared" si="1"/>
        <v>27</v>
      </c>
      <c r="C35" s="604" t="s">
        <v>59</v>
      </c>
      <c r="D35" s="605">
        <v>708</v>
      </c>
      <c r="E35" s="666">
        <f>UTAMA!F44</f>
        <v>9.6000000000000002E-2</v>
      </c>
      <c r="F35" s="607">
        <f>+UTAMA!G44</f>
        <v>169.79</v>
      </c>
      <c r="G35" s="611">
        <f>+UTAMA!I44</f>
        <v>170.64</v>
      </c>
      <c r="H35" s="609">
        <f>+UTAMA!H44</f>
        <v>6.3E-2</v>
      </c>
      <c r="I35" s="612">
        <f>+UTAMA!J44</f>
        <v>8.4000000000000005E-2</v>
      </c>
      <c r="J35" s="610">
        <f t="shared" si="0"/>
        <v>133.33333333333334</v>
      </c>
    </row>
    <row r="36" spans="2:13" ht="15.75" x14ac:dyDescent="0.2">
      <c r="B36" s="601">
        <f t="shared" si="1"/>
        <v>28</v>
      </c>
      <c r="C36" s="604" t="s">
        <v>60</v>
      </c>
      <c r="D36" s="605">
        <v>1567</v>
      </c>
      <c r="E36" s="666">
        <f>UTAMA!F45</f>
        <v>9.8740000000000006</v>
      </c>
      <c r="F36" s="607">
        <f>+UTAMA!G45</f>
        <v>139.34</v>
      </c>
      <c r="G36" s="608">
        <f>+UTAMA!I45</f>
        <v>139.32</v>
      </c>
      <c r="H36" s="609">
        <f>+UTAMA!H45</f>
        <v>6.4870000000000001</v>
      </c>
      <c r="I36" s="609">
        <f>+UTAMA!J45</f>
        <v>6.4329999999999998</v>
      </c>
      <c r="J36" s="610">
        <f t="shared" si="0"/>
        <v>99.16756590103283</v>
      </c>
    </row>
    <row r="37" spans="2:13" ht="15.75" x14ac:dyDescent="0.2">
      <c r="B37" s="601">
        <f t="shared" si="1"/>
        <v>29</v>
      </c>
      <c r="C37" s="604" t="s">
        <v>61</v>
      </c>
      <c r="D37" s="605">
        <v>1353</v>
      </c>
      <c r="E37" s="666">
        <f>UTAMA!F46</f>
        <v>2.6720000000000002</v>
      </c>
      <c r="F37" s="607">
        <f>+UTAMA!G46</f>
        <v>237.78</v>
      </c>
      <c r="G37" s="608">
        <f>+UTAMA!I46</f>
        <v>238.7</v>
      </c>
      <c r="H37" s="609">
        <f>+UTAMA!H46</f>
        <v>1.746</v>
      </c>
      <c r="I37" s="609">
        <f>+UTAMA!J46</f>
        <v>2.2440000000000002</v>
      </c>
      <c r="J37" s="610">
        <f t="shared" si="0"/>
        <v>128.52233676975945</v>
      </c>
    </row>
    <row r="38" spans="2:13" ht="15.75" x14ac:dyDescent="0.2">
      <c r="B38" s="601">
        <f t="shared" si="1"/>
        <v>30</v>
      </c>
      <c r="C38" s="604" t="s">
        <v>62</v>
      </c>
      <c r="D38" s="605">
        <v>53</v>
      </c>
      <c r="E38" s="666">
        <f>UTAMA!F47</f>
        <v>4.1539999999999999</v>
      </c>
      <c r="F38" s="607">
        <f>+UTAMA!G47</f>
        <v>118.34</v>
      </c>
      <c r="G38" s="608">
        <f>+UTAMA!I47</f>
        <v>118.26</v>
      </c>
      <c r="H38" s="609">
        <f>+UTAMA!H47</f>
        <v>2.1789999999999998</v>
      </c>
      <c r="I38" s="609">
        <f>+UTAMA!J47</f>
        <v>2.0470000000000002</v>
      </c>
      <c r="J38" s="610">
        <f t="shared" si="0"/>
        <v>93.942175309775138</v>
      </c>
    </row>
    <row r="39" spans="2:13" ht="15.75" x14ac:dyDescent="0.2">
      <c r="B39" s="601">
        <f t="shared" si="1"/>
        <v>31</v>
      </c>
      <c r="C39" s="604" t="s">
        <v>63</v>
      </c>
      <c r="D39" s="605">
        <v>51</v>
      </c>
      <c r="E39" s="666">
        <f>UTAMA!F48</f>
        <v>2.75</v>
      </c>
      <c r="F39" s="607">
        <f>+UTAMA!G48</f>
        <v>109.74</v>
      </c>
      <c r="G39" s="608">
        <f>+UTAMA!I48</f>
        <v>110.03</v>
      </c>
      <c r="H39" s="609">
        <f>+UTAMA!H48</f>
        <v>1.4930000000000001</v>
      </c>
      <c r="I39" s="609">
        <f>+UTAMA!J48</f>
        <v>1.744</v>
      </c>
      <c r="J39" s="610">
        <f t="shared" si="0"/>
        <v>116.81178834561285</v>
      </c>
    </row>
    <row r="40" spans="2:13" ht="16.5" thickBot="1" x14ac:dyDescent="0.25">
      <c r="B40" s="613"/>
      <c r="C40" s="614" t="s">
        <v>89</v>
      </c>
      <c r="D40" s="615">
        <f>SUM(D9:D39)</f>
        <v>63083</v>
      </c>
      <c r="E40" s="616">
        <f>SUM(E9:E39)</f>
        <v>83.753999999999976</v>
      </c>
      <c r="F40" s="617"/>
      <c r="G40" s="617"/>
      <c r="H40" s="618">
        <f>SUM(H9:H39)</f>
        <v>47.433000000000007</v>
      </c>
      <c r="I40" s="619">
        <f>SUM(I9:I39)</f>
        <v>48.60499999999999</v>
      </c>
      <c r="J40" s="620">
        <f>+I40/H40*100%*100</f>
        <v>102.47085362511328</v>
      </c>
    </row>
    <row r="41" spans="2:13" ht="16.5" thickBot="1" x14ac:dyDescent="0.25">
      <c r="B41" s="621" t="s">
        <v>68</v>
      </c>
      <c r="C41" s="622" t="s">
        <v>69</v>
      </c>
      <c r="D41" s="622"/>
      <c r="E41" s="623"/>
      <c r="F41" s="624"/>
      <c r="G41" s="624"/>
      <c r="H41" s="625" t="s">
        <v>95</v>
      </c>
      <c r="I41" s="626">
        <f>+I40/H40*100%</f>
        <v>1.0247085362511328</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21</v>
      </c>
    </row>
    <row r="45" spans="2:13" ht="15" x14ac:dyDescent="0.2">
      <c r="B45" s="628"/>
      <c r="C45" s="630" t="s">
        <v>100</v>
      </c>
      <c r="D45" s="630"/>
      <c r="E45" s="631" t="s">
        <v>98</v>
      </c>
      <c r="F45" s="630" t="s">
        <v>101</v>
      </c>
      <c r="G45" s="630"/>
      <c r="H45" s="630"/>
      <c r="I45" s="632" t="s">
        <v>176</v>
      </c>
      <c r="J45" s="633">
        <f>COUNTIFS(J9:J39,"&gt;=85",J9:J39,"&lt;=100")</f>
        <v>3</v>
      </c>
    </row>
    <row r="46" spans="2:13" ht="15" x14ac:dyDescent="0.2">
      <c r="B46" s="628"/>
      <c r="C46" s="630" t="s">
        <v>102</v>
      </c>
      <c r="D46" s="630"/>
      <c r="E46" s="631" t="s">
        <v>98</v>
      </c>
      <c r="F46" s="630" t="s">
        <v>103</v>
      </c>
      <c r="G46" s="630"/>
      <c r="H46" s="630"/>
      <c r="I46" s="632" t="s">
        <v>176</v>
      </c>
      <c r="J46" s="254">
        <f>COUNTIFS(J9:J39,"&gt;0",J9:J39,"&lt;=85")</f>
        <v>7</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8" priority="1" stopIfTrue="1" operator="equal">
      <formula>0</formula>
    </cfRule>
    <cfRule type="cellIs" dxfId="7" priority="2" stopIfTrue="1" operator="lessThan">
      <formula>84</formula>
    </cfRule>
    <cfRule type="cellIs" dxfId="6" priority="3" stopIfTrue="1" operator="between">
      <formula>85</formula>
      <formula>100</formula>
    </cfRule>
    <cfRule type="cellIs" dxfId="5" priority="4" stopIfTrue="1" operator="equal">
      <formula>0</formula>
    </cfRule>
    <cfRule type="cellIs" dxfId="4" priority="5" stopIfTrue="1" operator="greaterThan">
      <formula>100</formula>
    </cfRule>
    <cfRule type="cellIs" dxfId="3" priority="6" stopIfTrue="1" operator="between">
      <formula>85</formula>
      <formula>100</formula>
    </cfRule>
  </conditionalFormatting>
  <conditionalFormatting sqref="J30:J39">
    <cfRule type="cellIs" dxfId="2" priority="7" stopIfTrue="1" operator="greaterThan">
      <formula>100</formula>
    </cfRule>
    <cfRule type="cellIs" dxfId="1"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65" t="s">
        <v>287</v>
      </c>
      <c r="C2" s="865"/>
      <c r="D2" s="865"/>
      <c r="E2" s="865"/>
      <c r="F2" s="865"/>
      <c r="G2" s="865"/>
      <c r="H2" s="865"/>
      <c r="I2" s="865"/>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5" t="s">
        <v>286</v>
      </c>
      <c r="C2" s="865"/>
      <c r="D2" s="865"/>
      <c r="E2" s="865"/>
      <c r="F2" s="865"/>
      <c r="G2" s="865"/>
      <c r="H2" s="865"/>
      <c r="I2" s="865"/>
      <c r="J2" s="865"/>
      <c r="K2" s="865"/>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65" t="s">
        <v>285</v>
      </c>
      <c r="C2" s="865"/>
      <c r="D2" s="865"/>
      <c r="E2" s="865"/>
      <c r="F2" s="865"/>
      <c r="G2" s="865"/>
      <c r="H2" s="865"/>
      <c r="I2" s="865"/>
      <c r="J2" s="865"/>
      <c r="K2" s="865"/>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zoomScale="90" zoomScaleNormal="90" zoomScaleSheetLayoutView="90" workbookViewId="0">
      <selection activeCell="P13" sqref="P13"/>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39" t="s">
        <v>281</v>
      </c>
      <c r="C3" s="939"/>
      <c r="D3" s="939"/>
      <c r="E3" s="939"/>
      <c r="F3" s="939"/>
      <c r="G3" s="939"/>
      <c r="H3" s="939"/>
      <c r="I3" s="939"/>
      <c r="J3" s="939"/>
      <c r="K3" s="939"/>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67" t="s">
        <v>16</v>
      </c>
      <c r="B3" s="867"/>
      <c r="C3" s="867"/>
      <c r="D3" s="867"/>
      <c r="E3" s="867"/>
      <c r="F3" s="867"/>
      <c r="G3" s="867"/>
      <c r="H3" s="867"/>
      <c r="I3" s="867"/>
    </row>
    <row r="4" spans="1:14" ht="21" x14ac:dyDescent="0.2">
      <c r="A4" s="867" t="s">
        <v>17</v>
      </c>
      <c r="B4" s="867"/>
      <c r="C4" s="867"/>
      <c r="D4" s="867"/>
      <c r="E4" s="867"/>
      <c r="F4" s="867"/>
      <c r="G4" s="867"/>
      <c r="H4" s="867"/>
      <c r="I4" s="867"/>
    </row>
    <row r="5" spans="1:14" ht="21" x14ac:dyDescent="0.35">
      <c r="A5" s="940" t="str">
        <f>+UTAMA!B4</f>
        <v xml:space="preserve">MINGGU KE III JUNI ( 18 JUNI S/D 24 JUNI 2024 ) dalam Juta m3 </v>
      </c>
      <c r="B5" s="940"/>
      <c r="C5" s="940"/>
      <c r="D5" s="940"/>
      <c r="E5" s="940"/>
      <c r="F5" s="940"/>
      <c r="G5" s="940"/>
      <c r="H5" s="940"/>
      <c r="I5" s="94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339.5</v>
      </c>
      <c r="H11" s="90">
        <f>+UTAMA!J12</f>
        <v>7.77</v>
      </c>
      <c r="I11" s="91">
        <v>35162</v>
      </c>
      <c r="K11" s="125"/>
      <c r="L11" s="125"/>
      <c r="M11" s="125"/>
      <c r="N11" s="92"/>
    </row>
    <row r="12" spans="1:14" ht="15.75" x14ac:dyDescent="0.25">
      <c r="A12" s="126">
        <f>+A11+1</f>
        <v>2</v>
      </c>
      <c r="B12" s="127" t="s">
        <v>29</v>
      </c>
      <c r="C12" s="93">
        <f>+UTAMA!E13</f>
        <v>77.5</v>
      </c>
      <c r="D12" s="94">
        <f>+UTAMA!F13</f>
        <v>45.13</v>
      </c>
      <c r="E12" s="95">
        <f>+UTAMA!G13</f>
        <v>73.23</v>
      </c>
      <c r="F12" s="94">
        <f>+UTAMA!H13</f>
        <v>25.376999999999999</v>
      </c>
      <c r="G12" s="93">
        <f>+UTAMA!I13</f>
        <v>75.150000000000006</v>
      </c>
      <c r="H12" s="94">
        <f>+UTAMA!J13</f>
        <v>35.057000000000002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54.5</v>
      </c>
      <c r="F13" s="94">
        <f>+UTAMA!H11</f>
        <v>24.076000000000001</v>
      </c>
      <c r="G13" s="93">
        <f>+UTAMA!I11</f>
        <v>53.4</v>
      </c>
      <c r="H13" s="94">
        <f>+UTAMA!J11</f>
        <v>18.741</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460.89</v>
      </c>
      <c r="H14" s="94">
        <f>+UTAMA!J14</f>
        <v>14.458</v>
      </c>
      <c r="I14" s="96">
        <v>19972</v>
      </c>
      <c r="K14" s="125"/>
      <c r="L14" s="125"/>
      <c r="M14" s="125"/>
      <c r="N14" s="92"/>
    </row>
    <row r="15" spans="1:14" ht="15.75" x14ac:dyDescent="0.25">
      <c r="A15" s="126">
        <f t="shared" si="0"/>
        <v>5</v>
      </c>
      <c r="B15" s="127" t="s">
        <v>32</v>
      </c>
      <c r="C15" s="93">
        <f>+UTAMA!E15</f>
        <v>207</v>
      </c>
      <c r="D15" s="94">
        <f>+UTAMA!F15</f>
        <v>9.5030000000000001</v>
      </c>
      <c r="E15" s="97">
        <f>+UTAMA!H15</f>
        <v>8.5139999999999993</v>
      </c>
      <c r="F15" s="94">
        <f>+UTAMA!H15</f>
        <v>8.5139999999999993</v>
      </c>
      <c r="G15" s="93">
        <f>+UTAMA!I15</f>
        <v>207.01</v>
      </c>
      <c r="H15" s="94">
        <f>+UTAMA!J15</f>
        <v>8.6530000000000005</v>
      </c>
      <c r="I15" s="96">
        <v>4959</v>
      </c>
      <c r="K15" s="125"/>
      <c r="L15" s="125"/>
      <c r="M15" s="125"/>
      <c r="N15" s="92"/>
    </row>
    <row r="16" spans="1:14" ht="15.75" x14ac:dyDescent="0.25">
      <c r="A16" s="126">
        <f t="shared" si="0"/>
        <v>6</v>
      </c>
      <c r="B16" s="127" t="s">
        <v>33</v>
      </c>
      <c r="C16" s="93">
        <f>+UTAMA!E16</f>
        <v>320</v>
      </c>
      <c r="D16" s="94">
        <f>+UTAMA!F16</f>
        <v>5.1509999999999998</v>
      </c>
      <c r="E16" s="97">
        <f>+UTAMA!H16</f>
        <v>3.4119999999999999</v>
      </c>
      <c r="F16" s="94">
        <f>+UTAMA!H16</f>
        <v>3.4119999999999999</v>
      </c>
      <c r="G16" s="93">
        <f>+UTAMA!I16</f>
        <v>316.42</v>
      </c>
      <c r="H16" s="94">
        <f>+UTAMA!J16</f>
        <v>3.5019999999999998</v>
      </c>
      <c r="I16" s="96">
        <v>6052</v>
      </c>
      <c r="K16" s="125"/>
      <c r="L16" s="125"/>
      <c r="M16" s="125"/>
      <c r="N16" s="92"/>
    </row>
    <row r="17" spans="1:14" ht="15.75" x14ac:dyDescent="0.25">
      <c r="A17" s="126">
        <f t="shared" si="0"/>
        <v>7</v>
      </c>
      <c r="B17" s="127" t="s">
        <v>34</v>
      </c>
      <c r="C17" s="93">
        <f>+UTAMA!E17</f>
        <v>90</v>
      </c>
      <c r="D17" s="94">
        <f>+UTAMA!F17</f>
        <v>689.09100000000001</v>
      </c>
      <c r="E17" s="97">
        <f>+UTAMA!G17</f>
        <v>81.12</v>
      </c>
      <c r="F17" s="94">
        <f>+UTAMA!H17</f>
        <v>330.346</v>
      </c>
      <c r="G17" s="93">
        <f>+UTAMA!I17</f>
        <v>81.77</v>
      </c>
      <c r="H17" s="94">
        <f>+UTAMA!J17</f>
        <v>350.46300000000002</v>
      </c>
      <c r="I17" s="96">
        <v>59645</v>
      </c>
      <c r="K17" s="125"/>
      <c r="L17" s="125"/>
      <c r="M17" s="125"/>
      <c r="N17" s="92"/>
    </row>
    <row r="18" spans="1:14" ht="15.75" x14ac:dyDescent="0.25">
      <c r="A18" s="126">
        <f t="shared" si="0"/>
        <v>8</v>
      </c>
      <c r="B18" s="127" t="s">
        <v>35</v>
      </c>
      <c r="C18" s="93">
        <f>+UTAMA!E19</f>
        <v>120.5</v>
      </c>
      <c r="D18" s="94">
        <f>+UTAMA!F19</f>
        <v>2.0920000000000001</v>
      </c>
      <c r="E18" s="97">
        <f>+UTAMA!G19</f>
        <v>115.82</v>
      </c>
      <c r="F18" s="94">
        <f>+UTAMA!H19</f>
        <v>0.29799999999999999</v>
      </c>
      <c r="G18" s="93">
        <f>+UTAMA!I19</f>
        <v>115.98</v>
      </c>
      <c r="H18" s="94">
        <f>+UTAMA!J19</f>
        <v>0.32400000000000001</v>
      </c>
      <c r="I18" s="98">
        <v>923</v>
      </c>
      <c r="K18" s="125"/>
      <c r="L18" s="125"/>
      <c r="M18" s="128"/>
      <c r="N18" s="92"/>
    </row>
    <row r="19" spans="1:14" ht="15.75" x14ac:dyDescent="0.25">
      <c r="A19" s="126">
        <f t="shared" si="0"/>
        <v>9</v>
      </c>
      <c r="B19" s="127" t="s">
        <v>36</v>
      </c>
      <c r="C19" s="93">
        <f>+UTAMA!E20</f>
        <v>120.8</v>
      </c>
      <c r="D19" s="94">
        <f>+UTAMA!F20</f>
        <v>2.3530000000000002</v>
      </c>
      <c r="E19" s="97">
        <f>+UTAMA!G20</f>
        <v>117.38</v>
      </c>
      <c r="F19" s="94">
        <f>+UTAMA!H20</f>
        <v>0.59299999999999997</v>
      </c>
      <c r="G19" s="93">
        <f>+UTAMA!I20</f>
        <v>117.63</v>
      </c>
      <c r="H19" s="94">
        <f>+UTAMA!J20</f>
        <v>0.61</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4.2270000000000003</v>
      </c>
      <c r="G20" s="93">
        <f>+UTAMA!I21</f>
        <v>44.36</v>
      </c>
      <c r="H20" s="94">
        <f>+UTAMA!J21</f>
        <v>4.2830000000000004</v>
      </c>
      <c r="I20" s="100">
        <v>440</v>
      </c>
      <c r="K20" s="125"/>
      <c r="L20" s="125"/>
      <c r="M20" s="128"/>
      <c r="N20" s="92"/>
    </row>
    <row r="21" spans="1:14" ht="15.75" x14ac:dyDescent="0.25">
      <c r="A21" s="126">
        <f t="shared" si="0"/>
        <v>11</v>
      </c>
      <c r="B21" s="127" t="s">
        <v>39</v>
      </c>
      <c r="C21" s="93">
        <f>+UTAMA!E22</f>
        <v>51.5</v>
      </c>
      <c r="D21" s="94">
        <f>+UTAMA!F22</f>
        <v>2.4159999999999999</v>
      </c>
      <c r="E21" s="97">
        <f>+UTAMA!G22</f>
        <v>43.93</v>
      </c>
      <c r="F21" s="94">
        <f>+UTAMA!H22</f>
        <v>2.0150000000000001</v>
      </c>
      <c r="G21" s="93">
        <f>+UTAMA!I22</f>
        <v>50.55</v>
      </c>
      <c r="H21" s="94">
        <f>+UTAMA!J22</f>
        <v>2.1440000000000001</v>
      </c>
      <c r="I21" s="100">
        <v>775</v>
      </c>
      <c r="K21" s="125"/>
      <c r="L21" s="125"/>
      <c r="M21" s="128"/>
      <c r="N21" s="92"/>
    </row>
    <row r="22" spans="1:14" ht="15.75" x14ac:dyDescent="0.25">
      <c r="A22" s="126">
        <f t="shared" si="0"/>
        <v>12</v>
      </c>
      <c r="B22" s="127" t="s">
        <v>40</v>
      </c>
      <c r="C22" s="93">
        <f>+UTAMA!E23</f>
        <v>81</v>
      </c>
      <c r="D22" s="94">
        <f>+UTAMA!F23</f>
        <v>1.093</v>
      </c>
      <c r="E22" s="97">
        <f>+UTAMA!G23</f>
        <v>74.2</v>
      </c>
      <c r="F22" s="94">
        <f>+UTAMA!H23</f>
        <v>0.38100000000000001</v>
      </c>
      <c r="G22" s="93">
        <f>+UTAMA!I23</f>
        <v>74.5</v>
      </c>
      <c r="H22" s="94">
        <f>+UTAMA!J23</f>
        <v>0.42699999999999999</v>
      </c>
      <c r="I22" s="96">
        <v>750</v>
      </c>
      <c r="K22" s="125"/>
      <c r="L22" s="125"/>
      <c r="M22" s="128"/>
      <c r="N22" s="92"/>
    </row>
    <row r="23" spans="1:14" ht="15.75" x14ac:dyDescent="0.25">
      <c r="A23" s="126">
        <f t="shared" si="0"/>
        <v>13</v>
      </c>
      <c r="B23" s="127" t="s">
        <v>41</v>
      </c>
      <c r="C23" s="93">
        <f>+UTAMA!E24</f>
        <v>82.8</v>
      </c>
      <c r="D23" s="94">
        <f>+UTAMA!F24</f>
        <v>0.42899999999999999</v>
      </c>
      <c r="E23" s="99">
        <f>+UTAMA!G24</f>
        <v>80.11</v>
      </c>
      <c r="F23" s="94">
        <f>+UTAMA!H24</f>
        <v>8.0000000000000002E-3</v>
      </c>
      <c r="G23" s="93">
        <f>+UTAMA!I24</f>
        <v>80.22</v>
      </c>
      <c r="H23" s="94">
        <f>+UTAMA!J24</f>
        <v>1.0999999999999999E-2</v>
      </c>
      <c r="I23" s="96">
        <v>482</v>
      </c>
      <c r="K23" s="125"/>
      <c r="L23" s="125"/>
      <c r="M23" s="125"/>
      <c r="N23" s="92"/>
    </row>
    <row r="24" spans="1:14" ht="15.75" x14ac:dyDescent="0.25">
      <c r="A24" s="126">
        <f t="shared" si="0"/>
        <v>14</v>
      </c>
      <c r="B24" s="127" t="s">
        <v>42</v>
      </c>
      <c r="C24" s="93">
        <f>+UTAMA!E25</f>
        <v>69.95</v>
      </c>
      <c r="D24" s="94">
        <f>+UTAMA!F25</f>
        <v>0.25</v>
      </c>
      <c r="E24" s="99">
        <f>+UTAMA!G25</f>
        <v>61.7</v>
      </c>
      <c r="F24" s="94">
        <f>+UTAMA!H25</f>
        <v>5.1999999999999998E-2</v>
      </c>
      <c r="G24" s="93">
        <f>+UTAMA!I25</f>
        <v>62.04</v>
      </c>
      <c r="H24" s="94">
        <f>+UTAMA!J25</f>
        <v>6.5000000000000002E-2</v>
      </c>
      <c r="I24" s="96">
        <v>366</v>
      </c>
      <c r="K24" s="125"/>
      <c r="L24" s="125"/>
      <c r="M24" s="125"/>
      <c r="N24" s="101"/>
    </row>
    <row r="25" spans="1:14" ht="15.75" x14ac:dyDescent="0.25">
      <c r="A25" s="126">
        <f t="shared" si="0"/>
        <v>15</v>
      </c>
      <c r="B25" s="127" t="s">
        <v>43</v>
      </c>
      <c r="C25" s="93">
        <f>+UTAMA!E26</f>
        <v>48.2</v>
      </c>
      <c r="D25" s="94">
        <f>+UTAMA!F26</f>
        <v>0.38500000000000001</v>
      </c>
      <c r="E25" s="97">
        <f>+UTAMA!G26</f>
        <v>45.06</v>
      </c>
      <c r="F25" s="94">
        <f>+UTAMA!H26</f>
        <v>0.13700000000000001</v>
      </c>
      <c r="G25" s="93">
        <f>+UTAMA!I26</f>
        <v>45.3</v>
      </c>
      <c r="H25" s="94">
        <f>+UTAMA!J26</f>
        <v>0.16</v>
      </c>
      <c r="I25" s="100">
        <v>260</v>
      </c>
      <c r="K25" s="125"/>
      <c r="L25" s="125"/>
      <c r="M25" s="125"/>
      <c r="N25" s="92"/>
    </row>
    <row r="26" spans="1:14" ht="15.75" x14ac:dyDescent="0.25">
      <c r="A26" s="126">
        <f t="shared" si="0"/>
        <v>16</v>
      </c>
      <c r="B26" s="127" t="s">
        <v>44</v>
      </c>
      <c r="C26" s="93">
        <f>+UTAMA!E27</f>
        <v>136</v>
      </c>
      <c r="D26" s="94">
        <f>+UTAMA!F27</f>
        <v>398.69</v>
      </c>
      <c r="E26" s="97">
        <f>+UTAMA!G27</f>
        <v>134.4</v>
      </c>
      <c r="F26" s="94">
        <f>+UTAMA!H27</f>
        <v>281.11</v>
      </c>
      <c r="G26" s="93">
        <f>+UTAMA!I27</f>
        <v>132.63</v>
      </c>
      <c r="H26" s="94">
        <f>+UTAMA!J27</f>
        <v>200.58199999999999</v>
      </c>
      <c r="I26" s="96">
        <v>28109</v>
      </c>
      <c r="K26" s="125"/>
      <c r="L26" s="125"/>
      <c r="M26" s="125"/>
      <c r="N26" s="102"/>
    </row>
    <row r="27" spans="1:14" ht="15.75" x14ac:dyDescent="0.25">
      <c r="A27" s="126">
        <f t="shared" si="0"/>
        <v>17</v>
      </c>
      <c r="B27" s="127" t="s">
        <v>45</v>
      </c>
      <c r="C27" s="93">
        <f>+UTAMA!E29</f>
        <v>113.5</v>
      </c>
      <c r="D27" s="94">
        <f>+UTAMA!F29</f>
        <v>2.3410000000000002</v>
      </c>
      <c r="E27" s="97">
        <f>+UTAMA!G29</f>
        <v>108.45</v>
      </c>
      <c r="F27" s="94">
        <f>+UTAMA!H29</f>
        <v>0.54100000000000004</v>
      </c>
      <c r="G27" s="93">
        <f>+UTAMA!I29</f>
        <v>110.34</v>
      </c>
      <c r="H27" s="94">
        <f>+UTAMA!J29</f>
        <v>1.0760000000000001</v>
      </c>
      <c r="I27" s="96">
        <v>874</v>
      </c>
      <c r="K27" s="125"/>
      <c r="L27" s="125"/>
      <c r="M27" s="125"/>
      <c r="N27" s="102"/>
    </row>
    <row r="28" spans="1:14" ht="15.75" x14ac:dyDescent="0.25">
      <c r="A28" s="126">
        <f t="shared" si="0"/>
        <v>18</v>
      </c>
      <c r="B28" s="127" t="s">
        <v>46</v>
      </c>
      <c r="C28" s="93">
        <f>+UTAMA!E30</f>
        <v>225.4</v>
      </c>
      <c r="D28" s="94">
        <f>+UTAMA!F30</f>
        <v>0.32300000000000001</v>
      </c>
      <c r="E28" s="97">
        <f>+UTAMA!G30</f>
        <v>201.26</v>
      </c>
      <c r="F28" s="94">
        <f>+UTAMA!H30</f>
        <v>8.7999999999999995E-2</v>
      </c>
      <c r="G28" s="93">
        <f>+UTAMA!I30</f>
        <v>200.08</v>
      </c>
      <c r="H28" s="94">
        <f>+UTAMA!J30</f>
        <v>3.2000000000000001E-2</v>
      </c>
      <c r="I28" s="100">
        <v>392</v>
      </c>
      <c r="K28" s="125"/>
      <c r="L28" s="125"/>
      <c r="M28" s="125"/>
      <c r="N28" s="92"/>
    </row>
    <row r="29" spans="1:14" ht="15.75" x14ac:dyDescent="0.25">
      <c r="A29" s="126">
        <f t="shared" si="0"/>
        <v>19</v>
      </c>
      <c r="B29" s="127" t="s">
        <v>47</v>
      </c>
      <c r="C29" s="93">
        <f>+UTAMA!E31</f>
        <v>224</v>
      </c>
      <c r="D29" s="94">
        <f>+UTAMA!F31</f>
        <v>0.42899999999999999</v>
      </c>
      <c r="E29" s="97">
        <f>+UTAMA!G31</f>
        <v>220.03</v>
      </c>
      <c r="F29" s="94">
        <f>+UTAMA!H31</f>
        <v>0.153</v>
      </c>
      <c r="G29" s="93">
        <f>+UTAMA!I31</f>
        <v>219.07</v>
      </c>
      <c r="H29" s="94">
        <f>+UTAMA!J31</f>
        <v>0.107</v>
      </c>
      <c r="I29" s="100">
        <v>500</v>
      </c>
      <c r="K29" s="125"/>
      <c r="L29" s="125"/>
      <c r="M29" s="125"/>
      <c r="N29" s="92"/>
    </row>
    <row r="30" spans="1:14" ht="15.75" x14ac:dyDescent="0.25">
      <c r="A30" s="126">
        <f t="shared" si="0"/>
        <v>20</v>
      </c>
      <c r="B30" s="127" t="s">
        <v>48</v>
      </c>
      <c r="C30" s="93">
        <f>+UTAMA!E32</f>
        <v>196</v>
      </c>
      <c r="D30" s="94">
        <f>+UTAMA!F32</f>
        <v>0.77100000000000002</v>
      </c>
      <c r="E30" s="97">
        <f>+UTAMA!G32</f>
        <v>192.8</v>
      </c>
      <c r="F30" s="94">
        <f>+UTAMA!H32</f>
        <v>0.251</v>
      </c>
      <c r="G30" s="93">
        <f>+UTAMA!I32</f>
        <v>192.18</v>
      </c>
      <c r="H30" s="94">
        <f>+UTAMA!J32</f>
        <v>0.16200000000000001</v>
      </c>
      <c r="I30" s="100">
        <v>700</v>
      </c>
      <c r="K30" s="125"/>
      <c r="L30" s="125"/>
      <c r="M30" s="125"/>
      <c r="N30" s="92"/>
    </row>
    <row r="31" spans="1:14" ht="15.75" x14ac:dyDescent="0.25">
      <c r="A31" s="126">
        <f t="shared" si="0"/>
        <v>21</v>
      </c>
      <c r="B31" s="127" t="s">
        <v>49</v>
      </c>
      <c r="C31" s="93">
        <f>+UTAMA!E33</f>
        <v>174</v>
      </c>
      <c r="D31" s="94">
        <f>+UTAMA!F33</f>
        <v>0.22600000000000001</v>
      </c>
      <c r="E31" s="99">
        <f>+UTAMA!G33</f>
        <v>162.19</v>
      </c>
      <c r="F31" s="94">
        <f>+UTAMA!H33</f>
        <v>0.02</v>
      </c>
      <c r="G31" s="93">
        <f>+UTAMA!I33</f>
        <v>164.73</v>
      </c>
      <c r="H31" s="94">
        <f>+UTAMA!J33</f>
        <v>0.20399999999999999</v>
      </c>
      <c r="I31" s="100">
        <v>87</v>
      </c>
      <c r="K31" s="125"/>
      <c r="L31" s="125"/>
      <c r="M31" s="125"/>
      <c r="N31" s="102"/>
    </row>
    <row r="32" spans="1:14" ht="15.75" x14ac:dyDescent="0.25">
      <c r="A32" s="126">
        <f t="shared" si="0"/>
        <v>22</v>
      </c>
      <c r="B32" s="127" t="s">
        <v>50</v>
      </c>
      <c r="C32" s="93">
        <f>+UTAMA!E34</f>
        <v>229.1</v>
      </c>
      <c r="D32" s="94">
        <f>+UTAMA!F34</f>
        <v>0.71399999999999997</v>
      </c>
      <c r="E32" s="97">
        <f>+UTAMA!G34</f>
        <v>221.39</v>
      </c>
      <c r="F32" s="94">
        <f>+UTAMA!H34</f>
        <v>0.128</v>
      </c>
      <c r="G32" s="93">
        <f>+UTAMA!I34</f>
        <v>221.67</v>
      </c>
      <c r="H32" s="94">
        <f>+UTAMA!J34</f>
        <v>0.14199999999999999</v>
      </c>
      <c r="I32" s="98">
        <v>354</v>
      </c>
      <c r="K32" s="125"/>
      <c r="L32" s="125"/>
      <c r="M32" s="125"/>
      <c r="N32" s="92"/>
    </row>
    <row r="33" spans="1:14" ht="15.75" x14ac:dyDescent="0.25">
      <c r="A33" s="126">
        <f t="shared" si="0"/>
        <v>23</v>
      </c>
      <c r="B33" s="127" t="s">
        <v>51</v>
      </c>
      <c r="C33" s="93">
        <f>+UTAMA!E35</f>
        <v>249</v>
      </c>
      <c r="D33" s="94">
        <f>+UTAMA!F35</f>
        <v>1.708</v>
      </c>
      <c r="E33" s="97">
        <f>+UTAMA!G35</f>
        <v>241.06</v>
      </c>
      <c r="F33" s="94">
        <f>+UTAMA!H35</f>
        <v>0.11700000000000001</v>
      </c>
      <c r="G33" s="93">
        <f>+UTAMA!I35</f>
        <v>243.49</v>
      </c>
      <c r="H33" s="94">
        <f>+UTAMA!J35</f>
        <v>0.46200000000000002</v>
      </c>
      <c r="I33" s="100">
        <v>637</v>
      </c>
      <c r="K33" s="125"/>
      <c r="L33" s="125"/>
      <c r="M33" s="125"/>
      <c r="N33" s="92"/>
    </row>
    <row r="34" spans="1:14" ht="15.75" x14ac:dyDescent="0.25">
      <c r="A34" s="126">
        <f t="shared" si="0"/>
        <v>24</v>
      </c>
      <c r="B34" s="127" t="s">
        <v>52</v>
      </c>
      <c r="C34" s="93">
        <f>+UTAMA!E37</f>
        <v>164.75</v>
      </c>
      <c r="D34" s="94">
        <f>+UTAMA!F37</f>
        <v>4.3979999999999997</v>
      </c>
      <c r="E34" s="97">
        <f>+UTAMA!G37</f>
        <v>147.5</v>
      </c>
      <c r="F34" s="94">
        <f>+UTAMA!H37</f>
        <v>1.827</v>
      </c>
      <c r="G34" s="93">
        <f>+UTAMA!I37</f>
        <v>144.80000000000001</v>
      </c>
      <c r="H34" s="94">
        <f>+UTAMA!J37</f>
        <v>0.66800000000000004</v>
      </c>
      <c r="I34" s="100">
        <v>7394</v>
      </c>
      <c r="K34" s="125"/>
      <c r="L34" s="125"/>
      <c r="M34" s="125"/>
      <c r="N34" s="102"/>
    </row>
    <row r="35" spans="1:14" ht="15.75" x14ac:dyDescent="0.25">
      <c r="A35" s="126">
        <f t="shared" si="0"/>
        <v>25</v>
      </c>
      <c r="B35" s="127" t="s">
        <v>53</v>
      </c>
      <c r="C35" s="93">
        <f>+UTAMA!E38</f>
        <v>179.1</v>
      </c>
      <c r="D35" s="94">
        <f>+UTAMA!F38</f>
        <v>3.3109999999999999</v>
      </c>
      <c r="E35" s="103">
        <f>+UTAMA!G38</f>
        <v>201.11</v>
      </c>
      <c r="F35" s="94">
        <f>+UTAMA!H38</f>
        <v>1.321</v>
      </c>
      <c r="G35" s="93">
        <f>+UTAMA!I38</f>
        <v>201.96</v>
      </c>
      <c r="H35" s="94">
        <f>+UTAMA!J38</f>
        <v>1.68</v>
      </c>
      <c r="I35" s="100">
        <v>2410</v>
      </c>
      <c r="K35" s="125"/>
      <c r="L35" s="125"/>
      <c r="M35" s="125"/>
      <c r="N35" s="102"/>
    </row>
    <row r="36" spans="1:14" ht="15.75" x14ac:dyDescent="0.25">
      <c r="A36" s="126">
        <f t="shared" si="0"/>
        <v>26</v>
      </c>
      <c r="B36" s="127" t="s">
        <v>54</v>
      </c>
      <c r="C36" s="93">
        <f>+UTAMA!E39</f>
        <v>325.56</v>
      </c>
      <c r="D36" s="94">
        <f>+UTAMA!F39</f>
        <v>0.64100000000000001</v>
      </c>
      <c r="E36" s="103">
        <f>+UTAMA!G39</f>
        <v>323.87</v>
      </c>
      <c r="F36" s="94">
        <f>+UTAMA!H39</f>
        <v>0.48799999999999999</v>
      </c>
      <c r="G36" s="93">
        <f>+UTAMA!I39</f>
        <v>322.2</v>
      </c>
      <c r="H36" s="94">
        <f>+UTAMA!J39</f>
        <v>0.34799999999999998</v>
      </c>
      <c r="I36" s="100">
        <v>1370</v>
      </c>
      <c r="K36" s="125"/>
      <c r="L36" s="125"/>
      <c r="M36" s="125"/>
      <c r="N36" s="102"/>
    </row>
    <row r="37" spans="1:14" ht="15.75" x14ac:dyDescent="0.25">
      <c r="A37" s="126">
        <f t="shared" si="0"/>
        <v>27</v>
      </c>
      <c r="B37" s="127" t="s">
        <v>55</v>
      </c>
      <c r="C37" s="93">
        <f>+UTAMA!E40</f>
        <v>129.19999999999999</v>
      </c>
      <c r="D37" s="94">
        <f>+UTAMA!F40</f>
        <v>0.71</v>
      </c>
      <c r="E37" s="103">
        <f>+UTAMA!G40</f>
        <v>127.6</v>
      </c>
      <c r="F37" s="94">
        <f>+UTAMA!H40</f>
        <v>0.499</v>
      </c>
      <c r="G37" s="93">
        <f>+UTAMA!I40</f>
        <v>128.41999999999999</v>
      </c>
      <c r="H37" s="94">
        <f>+UTAMA!J40</f>
        <v>0.60499999999999998</v>
      </c>
      <c r="I37" s="100">
        <v>358</v>
      </c>
      <c r="K37" s="125"/>
      <c r="L37" s="125"/>
      <c r="M37" s="125"/>
      <c r="N37" s="102"/>
    </row>
    <row r="38" spans="1:14" ht="15.75" x14ac:dyDescent="0.25">
      <c r="A38" s="126">
        <f t="shared" si="0"/>
        <v>28</v>
      </c>
      <c r="B38" s="127" t="s">
        <v>56</v>
      </c>
      <c r="C38" s="93">
        <f>+UTAMA!E41</f>
        <v>282.77999999999997</v>
      </c>
      <c r="D38" s="94">
        <f>+UTAMA!F41</f>
        <v>0.48</v>
      </c>
      <c r="E38" s="103">
        <f>+UTAMA!G41</f>
        <v>279.39</v>
      </c>
      <c r="F38" s="94">
        <f>+UTAMA!H41</f>
        <v>0.16</v>
      </c>
      <c r="G38" s="93">
        <f>+UTAMA!I41</f>
        <v>279.79000000000002</v>
      </c>
      <c r="H38" s="94">
        <f>+UTAMA!J41</f>
        <v>0.187</v>
      </c>
      <c r="I38" s="100">
        <v>268</v>
      </c>
      <c r="K38" s="125"/>
      <c r="L38" s="125"/>
      <c r="M38" s="125"/>
      <c r="N38" s="101"/>
    </row>
    <row r="39" spans="1:14" ht="15.75" x14ac:dyDescent="0.25">
      <c r="A39" s="126">
        <f t="shared" si="0"/>
        <v>29</v>
      </c>
      <c r="B39" s="127" t="s">
        <v>57</v>
      </c>
      <c r="C39" s="93">
        <f>+UTAMA!E42</f>
        <v>99</v>
      </c>
      <c r="D39" s="94">
        <f>+UTAMA!F42</f>
        <v>2.8849999999999998</v>
      </c>
      <c r="E39" s="103">
        <f>+UTAMA!G42</f>
        <v>97.58</v>
      </c>
      <c r="F39" s="94">
        <f>+UTAMA!H42</f>
        <v>1.9019999999999999</v>
      </c>
      <c r="G39" s="93">
        <f>+UTAMA!I42</f>
        <v>97.83</v>
      </c>
      <c r="H39" s="94">
        <f>+UTAMA!J42</f>
        <v>2.0550000000000002</v>
      </c>
      <c r="I39" s="100">
        <v>892</v>
      </c>
      <c r="K39" s="125"/>
      <c r="L39" s="125"/>
      <c r="M39" s="125"/>
      <c r="N39" s="102"/>
    </row>
    <row r="40" spans="1:14" ht="15.75" x14ac:dyDescent="0.25">
      <c r="A40" s="126">
        <f t="shared" si="0"/>
        <v>30</v>
      </c>
      <c r="B40" s="127" t="s">
        <v>58</v>
      </c>
      <c r="C40" s="93">
        <f>+UTAMA!E43</f>
        <v>189.7</v>
      </c>
      <c r="D40" s="94">
        <f>+UTAMA!F43</f>
        <v>7.9000000000000001E-2</v>
      </c>
      <c r="E40" s="103">
        <f>+UTAMA!G43</f>
        <v>189.49</v>
      </c>
      <c r="F40" s="94">
        <f>+UTAMA!H43</f>
        <v>7.4999999999999997E-2</v>
      </c>
      <c r="G40" s="93">
        <f>+UTAMA!I43</f>
        <v>188.1</v>
      </c>
      <c r="H40" s="94">
        <f>+UTAMA!J43</f>
        <v>2.8000000000000001E-2</v>
      </c>
      <c r="I40" s="100">
        <v>274</v>
      </c>
      <c r="K40" s="125"/>
      <c r="L40" s="125"/>
      <c r="M40" s="125"/>
      <c r="N40" s="102"/>
    </row>
    <row r="41" spans="1:14" ht="15.75" x14ac:dyDescent="0.25">
      <c r="A41" s="126">
        <f t="shared" si="0"/>
        <v>31</v>
      </c>
      <c r="B41" s="127" t="s">
        <v>59</v>
      </c>
      <c r="C41" s="93">
        <f>+UTAMA!E44</f>
        <v>171.19</v>
      </c>
      <c r="D41" s="94">
        <f>+UTAMA!F44</f>
        <v>9.6000000000000002E-2</v>
      </c>
      <c r="E41" s="103">
        <f>+UTAMA!G44</f>
        <v>169.79</v>
      </c>
      <c r="F41" s="94">
        <f>+UTAMA!H44</f>
        <v>6.3E-2</v>
      </c>
      <c r="G41" s="93">
        <f>+UTAMA!I44</f>
        <v>170.64</v>
      </c>
      <c r="H41" s="94">
        <f>+UTAMA!J44</f>
        <v>8.4000000000000005E-2</v>
      </c>
      <c r="I41" s="100">
        <v>395</v>
      </c>
      <c r="K41" s="125"/>
      <c r="L41" s="125"/>
      <c r="M41" s="125"/>
      <c r="N41" s="102"/>
    </row>
    <row r="42" spans="1:14" ht="15.75" x14ac:dyDescent="0.25">
      <c r="A42" s="126">
        <f t="shared" si="0"/>
        <v>32</v>
      </c>
      <c r="B42" s="127" t="s">
        <v>60</v>
      </c>
      <c r="C42" s="93">
        <f>+UTAMA!E45</f>
        <v>142.6</v>
      </c>
      <c r="D42" s="94">
        <f>+UTAMA!F45</f>
        <v>9.8740000000000006</v>
      </c>
      <c r="E42" s="103">
        <f>+UTAMA!G45</f>
        <v>139.34</v>
      </c>
      <c r="F42" s="94">
        <f>+UTAMA!H45</f>
        <v>6.4870000000000001</v>
      </c>
      <c r="G42" s="93">
        <f>+UTAMA!I45</f>
        <v>139.32</v>
      </c>
      <c r="H42" s="94">
        <f>+UTAMA!J45</f>
        <v>6.4329999999999998</v>
      </c>
      <c r="I42" s="96">
        <v>1570</v>
      </c>
      <c r="K42" s="125"/>
      <c r="L42" s="125"/>
      <c r="M42" s="125"/>
      <c r="N42" s="102"/>
    </row>
    <row r="43" spans="1:14" ht="15.75" x14ac:dyDescent="0.25">
      <c r="A43" s="126">
        <f t="shared" si="0"/>
        <v>33</v>
      </c>
      <c r="B43" s="127" t="s">
        <v>61</v>
      </c>
      <c r="C43" s="93">
        <f>+UTAMA!E46</f>
        <v>239.5</v>
      </c>
      <c r="D43" s="94">
        <f>+UTAMA!F46</f>
        <v>2.6720000000000002</v>
      </c>
      <c r="E43" s="103">
        <f>+UTAMA!G46</f>
        <v>237.78</v>
      </c>
      <c r="F43" s="94">
        <f>+UTAMA!H46</f>
        <v>1.746</v>
      </c>
      <c r="G43" s="93">
        <f>+UTAMA!I46</f>
        <v>238.7</v>
      </c>
      <c r="H43" s="94">
        <f>+UTAMA!J46</f>
        <v>2.2440000000000002</v>
      </c>
      <c r="I43" s="96">
        <v>1353</v>
      </c>
      <c r="K43" s="125"/>
      <c r="L43" s="125"/>
      <c r="M43" s="125"/>
      <c r="N43" s="102"/>
    </row>
    <row r="44" spans="1:14" ht="15.75" x14ac:dyDescent="0.25">
      <c r="A44" s="126">
        <f t="shared" si="0"/>
        <v>34</v>
      </c>
      <c r="B44" s="127" t="s">
        <v>62</v>
      </c>
      <c r="C44" s="93">
        <f>+UTAMA!E47</f>
        <v>120.5</v>
      </c>
      <c r="D44" s="94">
        <f>+UTAMA!F47</f>
        <v>4.1539999999999999</v>
      </c>
      <c r="E44" s="103">
        <f>+UTAMA!G47</f>
        <v>118.34</v>
      </c>
      <c r="F44" s="94">
        <f>+UTAMA!H47</f>
        <v>2.1789999999999998</v>
      </c>
      <c r="G44" s="93">
        <f>+UTAMA!I47</f>
        <v>118.26</v>
      </c>
      <c r="H44" s="94">
        <f>+UTAMA!J47</f>
        <v>2.0470000000000002</v>
      </c>
      <c r="I44" s="100">
        <v>782</v>
      </c>
      <c r="K44" s="125"/>
      <c r="L44" s="125"/>
      <c r="M44" s="125"/>
      <c r="N44" s="102"/>
    </row>
    <row r="45" spans="1:14" ht="15.75" x14ac:dyDescent="0.25">
      <c r="A45" s="126">
        <f t="shared" si="0"/>
        <v>35</v>
      </c>
      <c r="B45" s="127" t="s">
        <v>63</v>
      </c>
      <c r="C45" s="93">
        <f>+UTAMA!E48</f>
        <v>110.56</v>
      </c>
      <c r="D45" s="94">
        <f>+UTAMA!F48</f>
        <v>2.75</v>
      </c>
      <c r="E45" s="103">
        <f>+UTAMA!G48</f>
        <v>109.74</v>
      </c>
      <c r="F45" s="94">
        <f>+UTAMA!H48</f>
        <v>1.4930000000000001</v>
      </c>
      <c r="G45" s="93">
        <f>+UTAMA!I48</f>
        <v>110.03</v>
      </c>
      <c r="H45" s="94">
        <f>+UTAMA!J48</f>
        <v>1.744</v>
      </c>
      <c r="I45" s="100">
        <v>43</v>
      </c>
      <c r="K45" s="125"/>
      <c r="L45" s="125"/>
      <c r="M45" s="125"/>
      <c r="N45" s="102"/>
    </row>
    <row r="46" spans="1:14" ht="15.75" x14ac:dyDescent="0.25">
      <c r="A46" s="126">
        <f t="shared" si="0"/>
        <v>36</v>
      </c>
      <c r="B46" s="127" t="s">
        <v>64</v>
      </c>
      <c r="C46" s="93">
        <f>+UTAMA!E49</f>
        <v>72</v>
      </c>
      <c r="D46" s="94">
        <f>+UTAMA!F49</f>
        <v>38.036000000000001</v>
      </c>
      <c r="E46" s="103">
        <f>+UTAMA!G49</f>
        <v>62.35</v>
      </c>
      <c r="F46" s="94">
        <f>+UTAMA!H49</f>
        <v>16.670000000000002</v>
      </c>
      <c r="G46" s="93">
        <f>+UTAMA!I49</f>
        <v>59</v>
      </c>
      <c r="H46" s="94">
        <f>+UTAMA!J49</f>
        <v>11.83</v>
      </c>
      <c r="I46" s="96">
        <v>6485</v>
      </c>
      <c r="K46" s="125"/>
      <c r="L46" s="125"/>
      <c r="M46" s="125"/>
      <c r="N46" s="102"/>
    </row>
    <row r="47" spans="1:14" ht="15.75" x14ac:dyDescent="0.25">
      <c r="A47" s="126">
        <f t="shared" si="0"/>
        <v>37</v>
      </c>
      <c r="B47" s="127" t="s">
        <v>65</v>
      </c>
      <c r="C47" s="93">
        <f>+UTAMA!E50</f>
        <v>185</v>
      </c>
      <c r="D47" s="94">
        <f>+UTAMA!F50</f>
        <v>388.72199999999998</v>
      </c>
      <c r="E47" s="103">
        <f>+UTAMA!G50</f>
        <v>163.02000000000001</v>
      </c>
      <c r="F47" s="94">
        <f>+UTAMA!H50</f>
        <v>183.93</v>
      </c>
      <c r="G47" s="93">
        <f>+UTAMA!I50</f>
        <v>159.72</v>
      </c>
      <c r="H47" s="94">
        <f>+UTAMA!J50</f>
        <v>158.03</v>
      </c>
      <c r="I47" s="96">
        <v>31109</v>
      </c>
      <c r="K47" s="125"/>
      <c r="L47" s="125"/>
      <c r="M47" s="125"/>
      <c r="N47" s="102"/>
    </row>
    <row r="48" spans="1:14" ht="16.5" thickBot="1" x14ac:dyDescent="0.3">
      <c r="A48" s="129">
        <f t="shared" si="0"/>
        <v>38</v>
      </c>
      <c r="B48" s="130" t="s">
        <v>66</v>
      </c>
      <c r="C48" s="93">
        <f>+UTAMA!E51</f>
        <v>231</v>
      </c>
      <c r="D48" s="94">
        <f>+UTAMA!F51</f>
        <v>23.24</v>
      </c>
      <c r="E48" s="103">
        <f>+UTAMA!G51</f>
        <v>229.68</v>
      </c>
      <c r="F48" s="94">
        <f>+UTAMA!H51</f>
        <v>8.7680000000000007</v>
      </c>
      <c r="G48" s="93">
        <f>+UTAMA!I51</f>
        <v>229.74</v>
      </c>
      <c r="H48" s="94">
        <f>+UTAMA!J51</f>
        <v>9.0860000000000003</v>
      </c>
      <c r="I48" s="104">
        <v>8400</v>
      </c>
      <c r="K48" s="125"/>
      <c r="L48" s="125"/>
      <c r="M48" s="125"/>
      <c r="N48" s="92"/>
    </row>
    <row r="49" spans="1:14" ht="16.5" thickBot="1" x14ac:dyDescent="0.3">
      <c r="A49" s="131"/>
      <c r="B49" s="121" t="s">
        <v>67</v>
      </c>
      <c r="C49" s="105"/>
      <c r="D49" s="132">
        <f>SUM(D11:D48)</f>
        <v>1738.5575980000001</v>
      </c>
      <c r="E49" s="105"/>
      <c r="F49" s="132">
        <f>SUM(F11:F48)</f>
        <v>936.28600000000006</v>
      </c>
      <c r="G49" s="105"/>
      <c r="H49" s="132">
        <f>SUM(H11:H48)</f>
        <v>846.50400000000013</v>
      </c>
      <c r="I49" s="133">
        <f>SUM(I11:I48)</f>
        <v>270584</v>
      </c>
      <c r="K49" s="125"/>
      <c r="L49" s="125"/>
      <c r="M49" s="125"/>
      <c r="N49" s="92"/>
    </row>
    <row r="50" spans="1:14" ht="16.5" thickBot="1" x14ac:dyDescent="0.3">
      <c r="A50" s="134" t="s">
        <v>68</v>
      </c>
      <c r="B50" s="121" t="s">
        <v>69</v>
      </c>
      <c r="C50" s="105"/>
      <c r="D50" s="132"/>
      <c r="E50" s="135"/>
      <c r="F50" s="136">
        <v>1</v>
      </c>
      <c r="G50" s="105"/>
      <c r="H50" s="136">
        <f>+H49/F49</f>
        <v>0.90410836005237727</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41" t="s">
        <v>328</v>
      </c>
      <c r="C1" s="941"/>
      <c r="D1" s="941"/>
      <c r="E1" s="941"/>
      <c r="F1" s="941"/>
      <c r="G1" s="941"/>
      <c r="H1" s="941"/>
      <c r="I1" s="941"/>
      <c r="J1" s="941"/>
      <c r="K1" s="941"/>
      <c r="L1" s="941"/>
      <c r="M1" s="941"/>
      <c r="N1" s="941"/>
      <c r="O1" s="941"/>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86" t="s">
        <v>271</v>
      </c>
      <c r="C2" s="886"/>
      <c r="D2" s="886"/>
      <c r="E2" s="886"/>
      <c r="F2" s="886"/>
      <c r="G2" s="886"/>
      <c r="H2" s="886"/>
      <c r="I2" s="886"/>
      <c r="J2" s="886"/>
      <c r="K2" s="886"/>
      <c r="L2" s="886"/>
      <c r="N2" s="869" t="s">
        <v>279</v>
      </c>
      <c r="O2" s="870"/>
      <c r="P2" s="870"/>
      <c r="Q2" s="870"/>
      <c r="R2" s="870"/>
      <c r="S2" s="870"/>
      <c r="T2" s="870"/>
      <c r="U2" s="870"/>
      <c r="V2" s="870"/>
      <c r="W2" s="870"/>
      <c r="X2" s="870"/>
      <c r="Y2" s="870"/>
      <c r="Z2" s="871"/>
      <c r="AB2" s="862" t="s">
        <v>291</v>
      </c>
      <c r="AC2" s="862"/>
      <c r="AD2" s="862"/>
      <c r="AE2" s="862"/>
      <c r="AF2" s="862"/>
      <c r="AG2" s="862"/>
      <c r="AH2" s="862"/>
      <c r="AI2" s="862"/>
      <c r="AJ2" s="862"/>
      <c r="AK2" s="862"/>
      <c r="AL2" s="862"/>
      <c r="AM2" s="862"/>
      <c r="AN2" s="862"/>
      <c r="AO2"/>
      <c r="AP2"/>
      <c r="AQ2" s="878"/>
      <c r="AR2" s="878"/>
      <c r="AS2" s="878"/>
      <c r="AT2"/>
      <c r="AU2"/>
      <c r="AV2"/>
      <c r="AW2"/>
      <c r="AX2"/>
      <c r="AY2"/>
      <c r="AZ2"/>
      <c r="BA2"/>
      <c r="BB2"/>
      <c r="BC2"/>
      <c r="BD2"/>
      <c r="BE2"/>
    </row>
    <row r="3" spans="2:57" ht="17.25" customHeight="1" x14ac:dyDescent="0.3">
      <c r="B3" s="886"/>
      <c r="C3" s="886"/>
      <c r="D3" s="886"/>
      <c r="E3" s="886"/>
      <c r="F3" s="886"/>
      <c r="G3" s="886"/>
      <c r="H3" s="886"/>
      <c r="I3" s="886"/>
      <c r="J3" s="886"/>
      <c r="K3" s="886"/>
      <c r="L3" s="886"/>
      <c r="N3" s="866" t="s">
        <v>208</v>
      </c>
      <c r="O3" s="867"/>
      <c r="P3" s="867"/>
      <c r="Q3" s="867"/>
      <c r="R3" s="867"/>
      <c r="S3" s="867"/>
      <c r="T3" s="867"/>
      <c r="U3" s="867"/>
      <c r="V3" s="867"/>
      <c r="W3" s="867"/>
      <c r="X3" s="867"/>
      <c r="Y3" s="867"/>
      <c r="Z3" s="868"/>
      <c r="AB3" s="862" t="s">
        <v>334</v>
      </c>
      <c r="AC3" s="862"/>
      <c r="AD3" s="862"/>
      <c r="AE3" s="862"/>
      <c r="AF3" s="862"/>
      <c r="AG3" s="862"/>
      <c r="AH3" s="862"/>
      <c r="AI3" s="862"/>
      <c r="AJ3" s="862"/>
      <c r="AK3" s="862"/>
      <c r="AL3" s="862"/>
      <c r="AM3" s="862"/>
      <c r="AN3" s="862"/>
      <c r="AO3"/>
      <c r="AP3"/>
      <c r="AQ3"/>
      <c r="AR3"/>
      <c r="AS3"/>
      <c r="AT3"/>
      <c r="AU3"/>
      <c r="AV3"/>
      <c r="AW3"/>
      <c r="AX3"/>
      <c r="AY3"/>
      <c r="AZ3"/>
      <c r="BA3"/>
      <c r="BB3"/>
      <c r="BC3"/>
      <c r="BD3"/>
      <c r="BE3"/>
    </row>
    <row r="4" spans="2:57" ht="22.5" customHeight="1" thickBot="1" x14ac:dyDescent="0.25">
      <c r="B4" s="885" t="s">
        <v>342</v>
      </c>
      <c r="C4" s="885"/>
      <c r="D4" s="885"/>
      <c r="E4" s="885"/>
      <c r="F4" s="885"/>
      <c r="G4" s="885"/>
      <c r="H4" s="885"/>
      <c r="I4" s="885"/>
      <c r="J4" s="885"/>
      <c r="K4" s="885"/>
      <c r="L4" s="885"/>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872" t="s">
        <v>131</v>
      </c>
      <c r="O5" s="874" t="s">
        <v>132</v>
      </c>
      <c r="P5" s="874" t="s">
        <v>133</v>
      </c>
      <c r="Q5" s="874" t="s">
        <v>134</v>
      </c>
      <c r="R5" s="874" t="s">
        <v>135</v>
      </c>
      <c r="S5" s="874" t="s">
        <v>117</v>
      </c>
      <c r="T5" s="874" t="s">
        <v>136</v>
      </c>
      <c r="U5" s="874" t="s">
        <v>137</v>
      </c>
      <c r="V5" s="874" t="s">
        <v>138</v>
      </c>
      <c r="W5" s="874" t="s">
        <v>139</v>
      </c>
      <c r="X5" s="874" t="s">
        <v>140</v>
      </c>
      <c r="Y5" s="874" t="s">
        <v>141</v>
      </c>
      <c r="Z5" s="876" t="s">
        <v>142</v>
      </c>
      <c r="AB5" s="907" t="s">
        <v>131</v>
      </c>
      <c r="AC5" s="883" t="s">
        <v>132</v>
      </c>
      <c r="AD5" s="879" t="s">
        <v>133</v>
      </c>
      <c r="AE5" s="879" t="s">
        <v>134</v>
      </c>
      <c r="AF5" s="879" t="s">
        <v>135</v>
      </c>
      <c r="AG5" s="879" t="s">
        <v>117</v>
      </c>
      <c r="AH5" s="879" t="s">
        <v>136</v>
      </c>
      <c r="AI5" s="879" t="s">
        <v>137</v>
      </c>
      <c r="AJ5" s="879" t="s">
        <v>138</v>
      </c>
      <c r="AK5" s="879" t="s">
        <v>139</v>
      </c>
      <c r="AL5" s="879" t="s">
        <v>140</v>
      </c>
      <c r="AM5" s="879" t="s">
        <v>141</v>
      </c>
      <c r="AN5" s="881"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873"/>
      <c r="O6" s="875"/>
      <c r="P6" s="875"/>
      <c r="Q6" s="875"/>
      <c r="R6" s="875"/>
      <c r="S6" s="875"/>
      <c r="T6" s="875"/>
      <c r="U6" s="875"/>
      <c r="V6" s="875"/>
      <c r="W6" s="875"/>
      <c r="X6" s="875"/>
      <c r="Y6" s="875"/>
      <c r="Z6" s="877"/>
      <c r="AB6" s="908"/>
      <c r="AC6" s="884"/>
      <c r="AD6" s="880"/>
      <c r="AE6" s="880"/>
      <c r="AF6" s="880"/>
      <c r="AG6" s="880"/>
      <c r="AH6" s="880"/>
      <c r="AI6" s="880"/>
      <c r="AJ6" s="880"/>
      <c r="AK6" s="880"/>
      <c r="AL6" s="880"/>
      <c r="AM6" s="880"/>
      <c r="AN6" s="882"/>
      <c r="AO6" s="422"/>
      <c r="AP6"/>
      <c r="AQ6"/>
      <c r="AR6"/>
      <c r="AS6"/>
      <c r="AT6"/>
      <c r="AU6"/>
      <c r="AV6"/>
      <c r="AW6"/>
      <c r="AX6"/>
      <c r="AY6"/>
      <c r="AZ6"/>
      <c r="BA6"/>
      <c r="BB6"/>
      <c r="BC6"/>
      <c r="BD6"/>
      <c r="BE6"/>
    </row>
    <row r="7" spans="2:57" ht="27" customHeight="1" thickBot="1" x14ac:dyDescent="0.25">
      <c r="B7" s="890" t="s">
        <v>18</v>
      </c>
      <c r="C7" s="896" t="s">
        <v>270</v>
      </c>
      <c r="D7" s="893" t="s">
        <v>73</v>
      </c>
      <c r="E7" s="899" t="s">
        <v>20</v>
      </c>
      <c r="F7" s="900"/>
      <c r="G7" s="899" t="s">
        <v>94</v>
      </c>
      <c r="H7" s="900"/>
      <c r="I7" s="899" t="s">
        <v>22</v>
      </c>
      <c r="J7" s="900"/>
      <c r="K7" s="901" t="s">
        <v>189</v>
      </c>
      <c r="L7" s="887"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91"/>
      <c r="C8" s="897"/>
      <c r="D8" s="894"/>
      <c r="E8" s="637" t="s">
        <v>24</v>
      </c>
      <c r="F8" s="637" t="s">
        <v>25</v>
      </c>
      <c r="G8" s="638" t="s">
        <v>24</v>
      </c>
      <c r="H8" s="637" t="s">
        <v>25</v>
      </c>
      <c r="I8" s="638" t="s">
        <v>24</v>
      </c>
      <c r="J8" s="637" t="s">
        <v>25</v>
      </c>
      <c r="K8" s="902"/>
      <c r="L8" s="888"/>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92"/>
      <c r="C9" s="898"/>
      <c r="D9" s="895"/>
      <c r="E9" s="639" t="s">
        <v>26</v>
      </c>
      <c r="F9" s="639" t="s">
        <v>290</v>
      </c>
      <c r="G9" s="640" t="s">
        <v>26</v>
      </c>
      <c r="H9" s="639" t="s">
        <v>290</v>
      </c>
      <c r="I9" s="640" t="s">
        <v>26</v>
      </c>
      <c r="J9" s="639" t="s">
        <v>290</v>
      </c>
      <c r="K9" s="903"/>
      <c r="L9" s="889"/>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909" t="s">
        <v>330</v>
      </c>
      <c r="AC49" s="910"/>
      <c r="AD49" s="910"/>
      <c r="AE49" s="910"/>
      <c r="AF49" s="910"/>
      <c r="AG49" s="910"/>
      <c r="AH49" s="910"/>
      <c r="AI49" s="910"/>
      <c r="AJ49" s="910"/>
      <c r="AK49" s="910"/>
      <c r="AL49" s="910"/>
      <c r="AM49" s="910"/>
      <c r="AN49" s="910"/>
      <c r="AO49" s="911"/>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904"/>
      <c r="AC50" s="905"/>
      <c r="AD50" s="905"/>
      <c r="AE50" s="905"/>
      <c r="AF50" s="905"/>
      <c r="AG50" s="905"/>
      <c r="AH50" s="905"/>
      <c r="AI50" s="905"/>
      <c r="AJ50" s="905"/>
      <c r="AK50" s="905"/>
      <c r="AL50" s="905"/>
      <c r="AM50" s="905"/>
      <c r="AN50" s="905"/>
      <c r="AO50" s="906"/>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L7:L9"/>
    <mergeCell ref="AB49:AO49"/>
    <mergeCell ref="AB50:AO50"/>
    <mergeCell ref="AL5:AL6"/>
    <mergeCell ref="AM5:AM6"/>
    <mergeCell ref="AN5:AN6"/>
    <mergeCell ref="AI5:AI6"/>
    <mergeCell ref="AJ5:AJ6"/>
    <mergeCell ref="AK5:AK6"/>
    <mergeCell ref="X5:X6"/>
    <mergeCell ref="R5:R6"/>
    <mergeCell ref="B7:B9"/>
    <mergeCell ref="C7:C9"/>
    <mergeCell ref="D7:D9"/>
    <mergeCell ref="E7:F7"/>
    <mergeCell ref="G7:H7"/>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4:L4"/>
    <mergeCell ref="N5:N6"/>
    <mergeCell ref="O5:O6"/>
    <mergeCell ref="P5:P6"/>
    <mergeCell ref="Q5:Q6"/>
    <mergeCell ref="B2:L3"/>
    <mergeCell ref="N2:Z2"/>
    <mergeCell ref="AB2:AN2"/>
    <mergeCell ref="AQ2:AS2"/>
    <mergeCell ref="N3:Z3"/>
    <mergeCell ref="AB3:AN3"/>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topLeftCell="A13" zoomScaleNormal="90" zoomScaleSheetLayoutView="100" workbookViewId="0">
      <selection activeCell="A3" sqref="A3:M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933.5</v>
      </c>
      <c r="J6" s="791">
        <v>1620.18</v>
      </c>
      <c r="K6" s="838">
        <v>1327.38</v>
      </c>
      <c r="L6" s="656">
        <v>1518.81</v>
      </c>
      <c r="M6" s="655">
        <v>989.06</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1248.96</v>
      </c>
      <c r="J7" s="791">
        <v>1609.71</v>
      </c>
      <c r="K7" s="838">
        <v>1521.12</v>
      </c>
      <c r="L7" s="656">
        <v>1610.88</v>
      </c>
      <c r="M7" s="655">
        <v>1286.27</v>
      </c>
      <c r="N7" s="210"/>
      <c r="O7" s="652"/>
      <c r="P7" s="210">
        <v>798.81</v>
      </c>
      <c r="Q7" s="210">
        <v>1247.21</v>
      </c>
      <c r="R7" s="210"/>
    </row>
    <row r="8" spans="2:18" ht="21" customHeight="1" thickBot="1" x14ac:dyDescent="0.3">
      <c r="B8" s="406" t="s">
        <v>5</v>
      </c>
      <c r="C8" s="444">
        <v>1562.1959999999999</v>
      </c>
      <c r="D8" s="443">
        <v>1742.549</v>
      </c>
      <c r="E8" s="448">
        <v>1298.76</v>
      </c>
      <c r="F8" s="450">
        <v>1646.07</v>
      </c>
      <c r="G8" s="450">
        <v>1530.75</v>
      </c>
      <c r="H8" s="450">
        <v>1321.99</v>
      </c>
      <c r="I8" s="839">
        <v>1325.65</v>
      </c>
      <c r="J8" s="791">
        <v>1551.92</v>
      </c>
      <c r="K8" s="838">
        <v>1500.57</v>
      </c>
      <c r="L8" s="656">
        <v>1532.13</v>
      </c>
      <c r="M8" s="655">
        <v>1390.03</v>
      </c>
      <c r="N8" s="210"/>
      <c r="O8" s="210"/>
      <c r="P8" s="211">
        <v>918.71</v>
      </c>
      <c r="Q8" s="210">
        <v>1247.92</v>
      </c>
      <c r="R8" s="210"/>
    </row>
    <row r="9" spans="2:18" ht="21" customHeight="1" thickBot="1" x14ac:dyDescent="0.3">
      <c r="B9" s="406" t="s">
        <v>6</v>
      </c>
      <c r="C9" s="443">
        <v>1452.779</v>
      </c>
      <c r="D9" s="443">
        <v>1583.836</v>
      </c>
      <c r="E9" s="448">
        <v>1273.26</v>
      </c>
      <c r="F9" s="450">
        <v>1483.57</v>
      </c>
      <c r="G9" s="450">
        <v>1234.3800000000001</v>
      </c>
      <c r="H9" s="450">
        <v>1136.71</v>
      </c>
      <c r="I9" s="839">
        <v>1372.39</v>
      </c>
      <c r="J9" s="791">
        <v>1350.16</v>
      </c>
      <c r="K9" s="838">
        <v>1620.6</v>
      </c>
      <c r="L9" s="656">
        <v>1433.76</v>
      </c>
      <c r="M9" s="655">
        <v>1099.2</v>
      </c>
      <c r="N9" s="210"/>
      <c r="P9" s="210">
        <v>957.88</v>
      </c>
      <c r="Q9" s="210">
        <v>1260.3499999999999</v>
      </c>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v>910.08</v>
      </c>
      <c r="N10" s="210"/>
      <c r="P10" s="210">
        <v>989.06</v>
      </c>
      <c r="Q10" s="210">
        <v>1286.27</v>
      </c>
      <c r="R10" s="210"/>
    </row>
    <row r="11" spans="2:18" ht="21" customHeight="1" thickBot="1" x14ac:dyDescent="0.3">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v>1350.11</v>
      </c>
      <c r="R11" s="210"/>
    </row>
    <row r="12" spans="2:18" ht="21" customHeight="1" thickBot="1" x14ac:dyDescent="0.3">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v>1390.03</v>
      </c>
      <c r="R12" s="210"/>
    </row>
    <row r="13" spans="2:18" ht="21" customHeight="1" thickBot="1" x14ac:dyDescent="0.3">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v>1291.6500000000001</v>
      </c>
      <c r="R13" s="210"/>
    </row>
    <row r="14" spans="2:18" ht="21" customHeight="1" thickBot="1" x14ac:dyDescent="0.3">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v>1211.97</v>
      </c>
      <c r="R14" s="210"/>
    </row>
    <row r="15" spans="2:18" ht="21" customHeight="1" thickBot="1" x14ac:dyDescent="0.3">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v>1171.49</v>
      </c>
      <c r="R15" s="210"/>
    </row>
    <row r="16" spans="2:18" ht="21" customHeight="1" thickBot="1" x14ac:dyDescent="0.3">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v>1099.2</v>
      </c>
      <c r="R16" s="210"/>
    </row>
    <row r="17" spans="10:17" x14ac:dyDescent="0.25">
      <c r="Q17" s="208">
        <v>1023.31</v>
      </c>
    </row>
    <row r="18" spans="10:17" x14ac:dyDescent="0.25">
      <c r="J18" s="208" t="s">
        <v>352</v>
      </c>
      <c r="Q18" s="208">
        <v>967.31</v>
      </c>
    </row>
    <row r="19" spans="10:17" x14ac:dyDescent="0.25">
      <c r="Q19" s="208">
        <v>910.08</v>
      </c>
    </row>
    <row r="26" spans="10:17" x14ac:dyDescent="0.25">
      <c r="O26" s="790"/>
    </row>
    <row r="32" spans="10:17"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64" t="s">
        <v>282</v>
      </c>
      <c r="C2" s="864"/>
      <c r="D2" s="864"/>
      <c r="E2" s="864"/>
      <c r="F2" s="864"/>
      <c r="G2" s="864"/>
      <c r="H2" s="864"/>
      <c r="I2" s="864"/>
      <c r="J2" s="864"/>
      <c r="K2" s="864"/>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O47"/>
  <sheetViews>
    <sheetView workbookViewId="0">
      <selection activeCell="Q10" sqref="Q10"/>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865" t="s">
        <v>283</v>
      </c>
      <c r="C2" s="865"/>
      <c r="D2" s="865"/>
      <c r="E2" s="865"/>
      <c r="F2" s="865"/>
      <c r="G2" s="865"/>
      <c r="H2" s="865"/>
      <c r="I2" s="865"/>
      <c r="J2" s="865"/>
      <c r="K2" s="865"/>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65" t="s">
        <v>284</v>
      </c>
      <c r="C2" s="865"/>
      <c r="D2" s="865"/>
      <c r="E2" s="865"/>
      <c r="F2" s="865"/>
      <c r="G2" s="865"/>
      <c r="H2" s="865"/>
      <c r="I2" s="865"/>
      <c r="J2" s="865"/>
      <c r="K2" s="865"/>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5" t="s">
        <v>289</v>
      </c>
      <c r="C2" s="865"/>
      <c r="D2" s="865"/>
      <c r="E2" s="865"/>
      <c r="F2" s="865"/>
      <c r="G2" s="865"/>
      <c r="H2" s="865"/>
      <c r="I2" s="865"/>
      <c r="J2" s="865"/>
      <c r="K2" s="865"/>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E470"/>
  <sheetViews>
    <sheetView showGridLines="0" topLeftCell="A47" zoomScale="70" zoomScaleNormal="70" workbookViewId="0">
      <selection activeCell="A41" sqref="A41:L59"/>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86" t="s">
        <v>271</v>
      </c>
      <c r="C2" s="886"/>
      <c r="D2" s="886"/>
      <c r="E2" s="886"/>
      <c r="F2" s="886"/>
      <c r="G2" s="886"/>
      <c r="H2" s="886"/>
      <c r="I2" s="886"/>
      <c r="J2" s="886"/>
      <c r="K2" s="886"/>
      <c r="L2" s="886"/>
      <c r="N2" s="869" t="s">
        <v>279</v>
      </c>
      <c r="O2" s="870"/>
      <c r="P2" s="870"/>
      <c r="Q2" s="870"/>
      <c r="R2" s="870"/>
      <c r="S2" s="870"/>
      <c r="T2" s="870"/>
      <c r="U2" s="870"/>
      <c r="V2" s="870"/>
      <c r="W2" s="870"/>
      <c r="X2" s="870"/>
      <c r="Y2" s="870"/>
      <c r="Z2" s="871"/>
      <c r="AB2" s="862" t="s">
        <v>291</v>
      </c>
      <c r="AC2" s="862"/>
      <c r="AD2" s="862"/>
      <c r="AE2" s="862"/>
      <c r="AF2" s="862"/>
      <c r="AG2" s="862"/>
      <c r="AH2" s="862"/>
      <c r="AI2" s="862"/>
      <c r="AJ2" s="862"/>
      <c r="AK2" s="862"/>
      <c r="AL2" s="862"/>
      <c r="AM2" s="862"/>
      <c r="AN2" s="862"/>
      <c r="AO2"/>
      <c r="AP2"/>
      <c r="AQ2" s="878"/>
      <c r="AR2" s="878"/>
      <c r="AS2" s="878"/>
      <c r="AT2"/>
      <c r="AU2"/>
      <c r="AV2"/>
      <c r="AW2"/>
      <c r="AX2"/>
      <c r="AY2"/>
      <c r="AZ2"/>
      <c r="BA2"/>
      <c r="BB2"/>
      <c r="BC2"/>
      <c r="BD2"/>
      <c r="BE2"/>
    </row>
    <row r="3" spans="2:57" ht="17.25" customHeight="1" x14ac:dyDescent="0.3">
      <c r="B3" s="886"/>
      <c r="C3" s="886"/>
      <c r="D3" s="886"/>
      <c r="E3" s="886"/>
      <c r="F3" s="886"/>
      <c r="G3" s="886"/>
      <c r="H3" s="886"/>
      <c r="I3" s="886"/>
      <c r="J3" s="886"/>
      <c r="K3" s="886"/>
      <c r="L3" s="886"/>
      <c r="N3" s="866" t="s">
        <v>208</v>
      </c>
      <c r="O3" s="867"/>
      <c r="P3" s="867"/>
      <c r="Q3" s="867"/>
      <c r="R3" s="867"/>
      <c r="S3" s="867"/>
      <c r="T3" s="867"/>
      <c r="U3" s="867"/>
      <c r="V3" s="867"/>
      <c r="W3" s="867"/>
      <c r="X3" s="867"/>
      <c r="Y3" s="867"/>
      <c r="Z3" s="868"/>
      <c r="AB3" s="862" t="s">
        <v>347</v>
      </c>
      <c r="AC3" s="862"/>
      <c r="AD3" s="862"/>
      <c r="AE3" s="862"/>
      <c r="AF3" s="862"/>
      <c r="AG3" s="862"/>
      <c r="AH3" s="862"/>
      <c r="AI3" s="862"/>
      <c r="AJ3" s="862"/>
      <c r="AK3" s="862"/>
      <c r="AL3" s="862"/>
      <c r="AM3" s="862"/>
      <c r="AN3" s="862"/>
      <c r="AO3"/>
      <c r="AP3"/>
      <c r="AQ3"/>
      <c r="AR3"/>
      <c r="AS3"/>
      <c r="AT3"/>
      <c r="AU3"/>
      <c r="AV3"/>
      <c r="AW3"/>
      <c r="AX3"/>
      <c r="AY3"/>
      <c r="AZ3"/>
      <c r="BA3"/>
      <c r="BB3"/>
      <c r="BC3"/>
      <c r="BD3"/>
      <c r="BE3"/>
    </row>
    <row r="4" spans="2:57" ht="22.5" customHeight="1" thickBot="1" x14ac:dyDescent="0.25">
      <c r="B4" s="885" t="s">
        <v>351</v>
      </c>
      <c r="C4" s="885"/>
      <c r="D4" s="885"/>
      <c r="E4" s="885"/>
      <c r="F4" s="885"/>
      <c r="G4" s="885"/>
      <c r="H4" s="885"/>
      <c r="I4" s="885"/>
      <c r="J4" s="885"/>
      <c r="K4" s="885"/>
      <c r="L4" s="885"/>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872" t="s">
        <v>131</v>
      </c>
      <c r="O5" s="874" t="s">
        <v>132</v>
      </c>
      <c r="P5" s="874" t="s">
        <v>133</v>
      </c>
      <c r="Q5" s="874" t="s">
        <v>134</v>
      </c>
      <c r="R5" s="874" t="s">
        <v>135</v>
      </c>
      <c r="S5" s="874" t="s">
        <v>117</v>
      </c>
      <c r="T5" s="874" t="s">
        <v>136</v>
      </c>
      <c r="U5" s="874" t="s">
        <v>137</v>
      </c>
      <c r="V5" s="874" t="s">
        <v>138</v>
      </c>
      <c r="W5" s="874" t="s">
        <v>139</v>
      </c>
      <c r="X5" s="874" t="s">
        <v>140</v>
      </c>
      <c r="Y5" s="874" t="s">
        <v>141</v>
      </c>
      <c r="Z5" s="876" t="s">
        <v>142</v>
      </c>
      <c r="AB5" s="907" t="s">
        <v>131</v>
      </c>
      <c r="AC5" s="883" t="s">
        <v>132</v>
      </c>
      <c r="AD5" s="879" t="s">
        <v>133</v>
      </c>
      <c r="AE5" s="879" t="s">
        <v>134</v>
      </c>
      <c r="AF5" s="879" t="s">
        <v>135</v>
      </c>
      <c r="AG5" s="879" t="s">
        <v>117</v>
      </c>
      <c r="AH5" s="879" t="s">
        <v>136</v>
      </c>
      <c r="AI5" s="879" t="s">
        <v>137</v>
      </c>
      <c r="AJ5" s="879" t="s">
        <v>138</v>
      </c>
      <c r="AK5" s="879" t="s">
        <v>139</v>
      </c>
      <c r="AL5" s="879" t="s">
        <v>140</v>
      </c>
      <c r="AM5" s="879" t="s">
        <v>141</v>
      </c>
      <c r="AN5" s="881" t="s">
        <v>142</v>
      </c>
      <c r="AO5" s="422"/>
      <c r="AP5"/>
      <c r="AQ5"/>
      <c r="AR5"/>
      <c r="AS5"/>
      <c r="AT5"/>
      <c r="AU5"/>
      <c r="AV5"/>
      <c r="AW5"/>
      <c r="AX5"/>
      <c r="AY5"/>
      <c r="AZ5"/>
      <c r="BA5"/>
      <c r="BB5"/>
      <c r="BC5"/>
      <c r="BD5"/>
      <c r="BE5"/>
    </row>
    <row r="6" spans="2:57" ht="27" customHeight="1" thickBot="1" x14ac:dyDescent="0.25">
      <c r="B6" s="290"/>
      <c r="C6" s="413"/>
      <c r="D6" s="413"/>
      <c r="E6" s="413"/>
      <c r="F6" s="507">
        <v>24</v>
      </c>
      <c r="G6" s="555" t="s">
        <v>259</v>
      </c>
      <c r="H6" s="507">
        <v>2024</v>
      </c>
      <c r="I6" s="413"/>
      <c r="J6" s="413"/>
      <c r="K6" s="413"/>
      <c r="L6" s="414"/>
      <c r="N6" s="873"/>
      <c r="O6" s="875"/>
      <c r="P6" s="875"/>
      <c r="Q6" s="875"/>
      <c r="R6" s="875"/>
      <c r="S6" s="875"/>
      <c r="T6" s="875"/>
      <c r="U6" s="875"/>
      <c r="V6" s="875"/>
      <c r="W6" s="875"/>
      <c r="X6" s="875"/>
      <c r="Y6" s="875"/>
      <c r="Z6" s="877"/>
      <c r="AB6" s="908"/>
      <c r="AC6" s="884"/>
      <c r="AD6" s="880"/>
      <c r="AE6" s="880"/>
      <c r="AF6" s="880"/>
      <c r="AG6" s="880"/>
      <c r="AH6" s="880"/>
      <c r="AI6" s="880"/>
      <c r="AJ6" s="880"/>
      <c r="AK6" s="880"/>
      <c r="AL6" s="880"/>
      <c r="AM6" s="880"/>
      <c r="AN6" s="882"/>
      <c r="AO6" s="422"/>
      <c r="AP6"/>
      <c r="AQ6"/>
      <c r="AR6"/>
      <c r="AS6"/>
      <c r="AT6"/>
      <c r="AU6"/>
      <c r="AV6"/>
      <c r="AW6"/>
      <c r="AX6"/>
      <c r="AY6"/>
      <c r="AZ6"/>
      <c r="BA6"/>
      <c r="BB6"/>
      <c r="BC6"/>
      <c r="BD6"/>
      <c r="BE6"/>
    </row>
    <row r="7" spans="2:57" ht="27" customHeight="1" thickBot="1" x14ac:dyDescent="0.25">
      <c r="B7" s="890" t="s">
        <v>18</v>
      </c>
      <c r="C7" s="896" t="s">
        <v>270</v>
      </c>
      <c r="D7" s="893" t="s">
        <v>73</v>
      </c>
      <c r="E7" s="899" t="s">
        <v>20</v>
      </c>
      <c r="F7" s="900"/>
      <c r="G7" s="899" t="s">
        <v>94</v>
      </c>
      <c r="H7" s="900"/>
      <c r="I7" s="899" t="s">
        <v>22</v>
      </c>
      <c r="J7" s="900"/>
      <c r="K7" s="901" t="s">
        <v>189</v>
      </c>
      <c r="L7" s="887"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v>1386.49</v>
      </c>
      <c r="AH7" s="757">
        <v>1116.18</v>
      </c>
      <c r="AI7" s="757"/>
      <c r="AJ7" s="757"/>
      <c r="AK7" s="757"/>
      <c r="AL7" s="757"/>
      <c r="AM7" s="757"/>
      <c r="AN7" s="758"/>
      <c r="AO7" s="422"/>
      <c r="AP7"/>
      <c r="AQ7"/>
      <c r="AR7"/>
      <c r="AS7"/>
      <c r="AT7"/>
      <c r="AU7"/>
      <c r="AV7"/>
      <c r="AW7"/>
      <c r="AX7"/>
      <c r="AY7"/>
      <c r="AZ7"/>
      <c r="BA7"/>
      <c r="BB7"/>
      <c r="BC7"/>
      <c r="BD7"/>
      <c r="BE7"/>
    </row>
    <row r="8" spans="2:57" ht="27" customHeight="1" thickBot="1" x14ac:dyDescent="0.25">
      <c r="B8" s="891"/>
      <c r="C8" s="897"/>
      <c r="D8" s="894"/>
      <c r="E8" s="637" t="s">
        <v>24</v>
      </c>
      <c r="F8" s="637" t="s">
        <v>25</v>
      </c>
      <c r="G8" s="638" t="s">
        <v>24</v>
      </c>
      <c r="H8" s="637" t="s">
        <v>25</v>
      </c>
      <c r="I8" s="638" t="s">
        <v>24</v>
      </c>
      <c r="J8" s="637" t="s">
        <v>25</v>
      </c>
      <c r="K8" s="902"/>
      <c r="L8" s="888"/>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c r="AG8" s="757">
        <v>1380.6</v>
      </c>
      <c r="AH8" s="757">
        <v>1106.44</v>
      </c>
      <c r="AI8" s="757"/>
      <c r="AJ8" s="757"/>
      <c r="AK8" s="757"/>
      <c r="AL8" s="757"/>
      <c r="AM8" s="757"/>
      <c r="AN8" s="758"/>
      <c r="AO8" s="422"/>
      <c r="AP8"/>
      <c r="AQ8"/>
      <c r="AR8"/>
      <c r="AS8"/>
      <c r="AT8"/>
      <c r="AU8"/>
      <c r="AV8"/>
      <c r="AW8"/>
      <c r="AX8"/>
      <c r="AY8"/>
      <c r="AZ8"/>
      <c r="BA8"/>
      <c r="BB8"/>
      <c r="BC8"/>
      <c r="BD8"/>
      <c r="BE8"/>
    </row>
    <row r="9" spans="2:57" ht="27" customHeight="1" thickBot="1" x14ac:dyDescent="0.25">
      <c r="B9" s="892"/>
      <c r="C9" s="898"/>
      <c r="D9" s="895"/>
      <c r="E9" s="639" t="s">
        <v>26</v>
      </c>
      <c r="F9" s="639" t="s">
        <v>290</v>
      </c>
      <c r="G9" s="640" t="s">
        <v>26</v>
      </c>
      <c r="H9" s="639" t="s">
        <v>290</v>
      </c>
      <c r="I9" s="640" t="s">
        <v>26</v>
      </c>
      <c r="J9" s="639" t="s">
        <v>290</v>
      </c>
      <c r="K9" s="903"/>
      <c r="L9" s="889"/>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c r="AG9" s="757">
        <v>1373.84</v>
      </c>
      <c r="AH9" s="757">
        <v>1099.2</v>
      </c>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c r="AG10" s="757">
        <v>1368.56</v>
      </c>
      <c r="AH10" s="757">
        <v>1088.48</v>
      </c>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54.5</v>
      </c>
      <c r="H11" s="512">
        <v>24.076000000000001</v>
      </c>
      <c r="I11" s="512">
        <v>53.4</v>
      </c>
      <c r="J11" s="512">
        <v>18.741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c r="AG11" s="757">
        <v>1360.82</v>
      </c>
      <c r="AH11" s="757">
        <v>1078.69</v>
      </c>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339.5</v>
      </c>
      <c r="J12" s="520">
        <v>7.77</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c r="AG12" s="757">
        <v>1371.1</v>
      </c>
      <c r="AH12" s="757">
        <v>1066.08</v>
      </c>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73.23</v>
      </c>
      <c r="H13" s="520">
        <v>25.376999999999999</v>
      </c>
      <c r="I13" s="519">
        <v>75.150000000000006</v>
      </c>
      <c r="J13" s="520">
        <v>35.057000000000002</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c r="AG13" s="757">
        <v>1337.47</v>
      </c>
      <c r="AH13" s="757">
        <v>1054.7</v>
      </c>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461.3</v>
      </c>
      <c r="H14" s="521">
        <v>19.064</v>
      </c>
      <c r="I14" s="511">
        <v>460.89</v>
      </c>
      <c r="J14" s="511">
        <v>14.458</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c r="AG14" s="757">
        <v>1334.23</v>
      </c>
      <c r="AH14" s="757">
        <v>1049.68</v>
      </c>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206.17</v>
      </c>
      <c r="H15" s="523">
        <v>8.5139999999999993</v>
      </c>
      <c r="I15" s="661">
        <v>207.01</v>
      </c>
      <c r="J15" s="842">
        <v>8.6530000000000005</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c r="AG15" s="757">
        <v>1324.3</v>
      </c>
      <c r="AH15" s="757">
        <v>1033.54</v>
      </c>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316.10000000000002</v>
      </c>
      <c r="H16" s="524">
        <v>3.4119999999999999</v>
      </c>
      <c r="I16" s="661">
        <v>316.42</v>
      </c>
      <c r="J16" s="842">
        <v>3.5019999999999998</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c r="AG16" s="757">
        <v>1323.02</v>
      </c>
      <c r="AH16" s="757">
        <v>1023.31</v>
      </c>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81.12</v>
      </c>
      <c r="H17" s="524">
        <v>330.346</v>
      </c>
      <c r="I17" s="661">
        <v>81.77</v>
      </c>
      <c r="J17" s="842">
        <v>350.46300000000002</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c r="AG17" s="757">
        <v>1306.55</v>
      </c>
      <c r="AH17" s="757">
        <v>1008.53</v>
      </c>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86.34</v>
      </c>
      <c r="H18" s="816">
        <v>16.852</v>
      </c>
      <c r="I18" s="816">
        <v>88.01</v>
      </c>
      <c r="J18" s="843">
        <v>18.827999999999999</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c r="AG18" s="757">
        <v>1297.3599999999999</v>
      </c>
      <c r="AH18" s="757">
        <v>1001.7</v>
      </c>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115.82</v>
      </c>
      <c r="H19" s="808">
        <v>0.29799999999999999</v>
      </c>
      <c r="I19" s="809">
        <v>115.98</v>
      </c>
      <c r="J19" s="844">
        <v>0.32400000000000001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c r="AG19" s="757">
        <v>1291.6500000000001</v>
      </c>
      <c r="AH19" s="757">
        <v>994.47</v>
      </c>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117.38</v>
      </c>
      <c r="H20" s="525">
        <v>0.59299999999999997</v>
      </c>
      <c r="I20" s="661">
        <v>117.63</v>
      </c>
      <c r="J20" s="842">
        <v>0.61</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c r="AG20" s="757">
        <v>1277.94</v>
      </c>
      <c r="AH20" s="757">
        <v>986.79</v>
      </c>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44.17</v>
      </c>
      <c r="H21" s="524">
        <v>4.2270000000000003</v>
      </c>
      <c r="I21" s="661">
        <v>44.36</v>
      </c>
      <c r="J21" s="842">
        <v>4.2830000000000004</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c r="AG21" s="757">
        <v>1266.8900000000001</v>
      </c>
      <c r="AH21" s="757">
        <v>978.66</v>
      </c>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43.93</v>
      </c>
      <c r="H22" s="524">
        <v>2.0150000000000001</v>
      </c>
      <c r="I22" s="662">
        <v>50.55</v>
      </c>
      <c r="J22" s="842">
        <v>2.1440000000000001</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v>1335.48</v>
      </c>
      <c r="AG22" s="757">
        <v>1255.32</v>
      </c>
      <c r="AH22" s="757">
        <v>971.63</v>
      </c>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74.2</v>
      </c>
      <c r="H23" s="609">
        <v>0.38100000000000001</v>
      </c>
      <c r="I23" s="661">
        <v>74.5</v>
      </c>
      <c r="J23" s="842">
        <v>0.42699999999999999</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v>1327.13</v>
      </c>
      <c r="AG23" s="757">
        <v>1241.27</v>
      </c>
      <c r="AH23" s="757">
        <v>967.31</v>
      </c>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80.11</v>
      </c>
      <c r="H24" s="524">
        <v>8.0000000000000002E-3</v>
      </c>
      <c r="I24" s="661">
        <v>80.22</v>
      </c>
      <c r="J24" s="842">
        <v>1.0999999999999999E-2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v>1326.59</v>
      </c>
      <c r="AG24" s="757">
        <v>1230.77</v>
      </c>
      <c r="AH24" s="757">
        <v>954.03</v>
      </c>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61.7</v>
      </c>
      <c r="H25" s="524">
        <v>5.1999999999999998E-2</v>
      </c>
      <c r="I25" s="661">
        <v>62.04</v>
      </c>
      <c r="J25" s="842">
        <v>6.5000000000000002E-2</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v>1333.99</v>
      </c>
      <c r="AG25" s="757">
        <v>1222.45</v>
      </c>
      <c r="AH25" s="757">
        <v>947.55</v>
      </c>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45.06</v>
      </c>
      <c r="H26" s="524">
        <v>0.13700000000000001</v>
      </c>
      <c r="I26" s="661">
        <v>45.3</v>
      </c>
      <c r="J26" s="842">
        <v>0.16</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v>1337.27</v>
      </c>
      <c r="AG26" s="757">
        <v>1211.97</v>
      </c>
      <c r="AH26" s="757">
        <v>939.3</v>
      </c>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134.4</v>
      </c>
      <c r="H27" s="521">
        <v>281.11</v>
      </c>
      <c r="I27" s="519">
        <v>132.63</v>
      </c>
      <c r="J27" s="845">
        <v>200.58199999999999</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v>1345.96</v>
      </c>
      <c r="AG27" s="757">
        <v>1199.32</v>
      </c>
      <c r="AH27" s="757">
        <v>932.42</v>
      </c>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183.22</v>
      </c>
      <c r="H28" s="521">
        <v>21.606999999999999</v>
      </c>
      <c r="I28" s="519">
        <v>183.6</v>
      </c>
      <c r="J28" s="845">
        <v>22.344000000000001</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v>1350.11</v>
      </c>
      <c r="AG28" s="757">
        <v>1319.69</v>
      </c>
      <c r="AH28" s="757">
        <v>923.85</v>
      </c>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108.45</v>
      </c>
      <c r="H29" s="521">
        <v>0.54100000000000004</v>
      </c>
      <c r="I29" s="527">
        <v>110.34</v>
      </c>
      <c r="J29" s="845">
        <v>1.0760000000000001</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v>1357.36</v>
      </c>
      <c r="AG29" s="757">
        <v>174.72</v>
      </c>
      <c r="AH29" s="757">
        <v>911.66</v>
      </c>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201.26</v>
      </c>
      <c r="H30" s="521">
        <v>8.7999999999999995E-2</v>
      </c>
      <c r="I30" s="519">
        <v>200.08</v>
      </c>
      <c r="J30" s="845">
        <v>3.2000000000000001E-2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v>1370.29</v>
      </c>
      <c r="AG30" s="757">
        <v>1174.3</v>
      </c>
      <c r="AH30" s="757">
        <v>910.08</v>
      </c>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220.03</v>
      </c>
      <c r="H31" s="521">
        <v>0.153</v>
      </c>
      <c r="I31" s="527">
        <v>219.07</v>
      </c>
      <c r="J31" s="846">
        <v>0.107</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v>1372.79</v>
      </c>
      <c r="AG31" s="757">
        <v>1179.25</v>
      </c>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192.8</v>
      </c>
      <c r="H32" s="519">
        <v>0.251</v>
      </c>
      <c r="I32" s="527">
        <v>192.18</v>
      </c>
      <c r="J32" s="845">
        <v>0.16200000000000001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v>1376.83</v>
      </c>
      <c r="AG32" s="757">
        <v>1177.05</v>
      </c>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162.19</v>
      </c>
      <c r="H33" s="521">
        <v>0.02</v>
      </c>
      <c r="I33" s="527">
        <v>164.73</v>
      </c>
      <c r="J33" s="845">
        <v>0.20399999999999999</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v>1384.87</v>
      </c>
      <c r="AG33" s="757">
        <v>1171.49</v>
      </c>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221.39</v>
      </c>
      <c r="H34" s="528">
        <v>0.128</v>
      </c>
      <c r="I34" s="529">
        <v>221.67</v>
      </c>
      <c r="J34" s="847">
        <v>0.14199999999999999</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v>1388.32</v>
      </c>
      <c r="AG34" s="757">
        <v>1158.29</v>
      </c>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241.06</v>
      </c>
      <c r="H35" s="521">
        <v>0.11700000000000001</v>
      </c>
      <c r="I35" s="527">
        <v>243.49</v>
      </c>
      <c r="J35" s="846">
        <v>0.46200000000000002</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v>1390.03</v>
      </c>
      <c r="AG35" s="757">
        <v>1149.79</v>
      </c>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512.95000000000005</v>
      </c>
      <c r="H36" s="521">
        <v>6.3460000000000001</v>
      </c>
      <c r="I36" s="519">
        <v>513.4</v>
      </c>
      <c r="J36" s="845">
        <v>6.5039999999999996</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v>1391.62</v>
      </c>
      <c r="AG36" s="757">
        <v>1135.8800000000001</v>
      </c>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v>
      </c>
      <c r="H37" s="521">
        <v>1.827</v>
      </c>
      <c r="I37" s="521">
        <v>144.80000000000001</v>
      </c>
      <c r="J37" s="846">
        <v>0.66800000000000004</v>
      </c>
      <c r="K37" s="513" t="s">
        <v>187</v>
      </c>
      <c r="L37" s="781"/>
      <c r="M37" s="780">
        <f>(((J38/H38)*100)/100)*F38</f>
        <v>4.2108099924299776</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v>1128.6600000000001</v>
      </c>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201.11</v>
      </c>
      <c r="H38" s="530">
        <v>1.321</v>
      </c>
      <c r="I38" s="519">
        <v>201.96</v>
      </c>
      <c r="J38" s="845">
        <v>1.68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t="str">
        <f t="shared" si="5"/>
        <v>tad</v>
      </c>
      <c r="AG38" s="765">
        <f t="shared" si="5"/>
        <v>1386.49</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323.87</v>
      </c>
      <c r="H39" s="530">
        <v>0.48799999999999999</v>
      </c>
      <c r="I39" s="527">
        <v>322.2</v>
      </c>
      <c r="J39" s="846">
        <v>0.34799999999999998</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t="str">
        <f t="shared" si="7"/>
        <v>tad</v>
      </c>
      <c r="AG39" s="770">
        <f t="shared" si="7"/>
        <v>1230.0335483870967</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127.6</v>
      </c>
      <c r="H40" s="521">
        <v>0.499</v>
      </c>
      <c r="I40" s="527">
        <v>128.41999999999999</v>
      </c>
      <c r="J40" s="845">
        <v>0.60499999999999998</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t="str">
        <f t="shared" si="8"/>
        <v>tad</v>
      </c>
      <c r="AG40" s="775">
        <f t="shared" si="8"/>
        <v>174.72</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279.39</v>
      </c>
      <c r="H41" s="521">
        <v>0.16</v>
      </c>
      <c r="I41" s="519">
        <v>279.79000000000002</v>
      </c>
      <c r="J41" s="845">
        <v>0.187</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t="str">
        <f t="shared" si="9"/>
        <v>tad</v>
      </c>
      <c r="AG41" s="765">
        <f t="shared" si="9"/>
        <v>1333.3879999999997</v>
      </c>
      <c r="AH41" s="765">
        <f t="shared" si="9"/>
        <v>1045.7633333333331</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97.58</v>
      </c>
      <c r="H42" s="521">
        <v>1.9019999999999999</v>
      </c>
      <c r="I42" s="527">
        <v>97.83</v>
      </c>
      <c r="J42" s="846">
        <v>2.0550000000000002</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14</v>
      </c>
      <c r="AG42" s="774">
        <f t="shared" si="11"/>
        <v>0</v>
      </c>
      <c r="AH42" s="774">
        <f t="shared" si="11"/>
        <v>0</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189.49</v>
      </c>
      <c r="H43" s="521">
        <v>7.4999999999999997E-2</v>
      </c>
      <c r="I43" s="527">
        <v>188.1</v>
      </c>
      <c r="J43" s="846">
        <v>2.8000000000000001E-2</v>
      </c>
      <c r="K43" s="513" t="s">
        <v>187</v>
      </c>
      <c r="L43" s="781"/>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f t="shared" si="12"/>
        <v>1359.2426666666665</v>
      </c>
      <c r="AG43" s="764">
        <f t="shared" si="12"/>
        <v>1133.1387500000001</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169.79</v>
      </c>
      <c r="H44" s="531">
        <v>6.3E-2</v>
      </c>
      <c r="I44" s="527">
        <v>170.64</v>
      </c>
      <c r="J44" s="846">
        <v>8.4000000000000005E-2</v>
      </c>
      <c r="K44" s="513" t="s">
        <v>187</v>
      </c>
      <c r="L44" s="781"/>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0</v>
      </c>
      <c r="AG44" s="774">
        <f t="shared" si="13"/>
        <v>0</v>
      </c>
      <c r="AH44" s="774">
        <f t="shared" si="13"/>
        <v>6</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139.34</v>
      </c>
      <c r="H45" s="521">
        <v>6.4870000000000001</v>
      </c>
      <c r="I45" s="519">
        <v>139.32</v>
      </c>
      <c r="J45" s="848">
        <v>6.4329999999999998</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237.78</v>
      </c>
      <c r="H46" s="531">
        <v>1.746</v>
      </c>
      <c r="I46" s="519">
        <v>238.7</v>
      </c>
      <c r="J46" s="848">
        <v>2.2440000000000002</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118.34</v>
      </c>
      <c r="H47" s="521">
        <v>2.1789999999999998</v>
      </c>
      <c r="I47" s="519">
        <v>118.26</v>
      </c>
      <c r="J47" s="845">
        <v>2.0470000000000002</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+B47+1</f>
        <v>38</v>
      </c>
      <c r="C48" s="516" t="s">
        <v>63</v>
      </c>
      <c r="D48" s="516" t="s">
        <v>86</v>
      </c>
      <c r="E48" s="510">
        <v>110.56</v>
      </c>
      <c r="F48" s="511">
        <v>2.75</v>
      </c>
      <c r="G48" s="521">
        <v>109.74</v>
      </c>
      <c r="H48" s="521">
        <v>1.4930000000000001</v>
      </c>
      <c r="I48" s="519">
        <v>110.03</v>
      </c>
      <c r="J48" s="845">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62.35</v>
      </c>
      <c r="H49" s="511">
        <v>16.670000000000002</v>
      </c>
      <c r="I49" s="519">
        <v>59</v>
      </c>
      <c r="J49" s="849">
        <v>11.83</v>
      </c>
      <c r="K49" s="513" t="s">
        <v>64</v>
      </c>
      <c r="L49" s="514">
        <f t="shared" si="4"/>
        <v>0</v>
      </c>
      <c r="M49" s="782"/>
      <c r="AB49" s="909" t="s">
        <v>348</v>
      </c>
      <c r="AC49" s="910"/>
      <c r="AD49" s="910"/>
      <c r="AE49" s="910"/>
      <c r="AF49" s="910"/>
      <c r="AG49" s="910"/>
      <c r="AH49" s="910"/>
      <c r="AI49" s="910"/>
      <c r="AJ49" s="910"/>
      <c r="AK49" s="910"/>
      <c r="AL49" s="910"/>
      <c r="AM49" s="910"/>
      <c r="AN49" s="910"/>
      <c r="AO49" s="911"/>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163.02000000000001</v>
      </c>
      <c r="H50" s="520">
        <v>183.93</v>
      </c>
      <c r="I50" s="519">
        <v>159.72</v>
      </c>
      <c r="J50" s="849">
        <v>158.03</v>
      </c>
      <c r="K50" s="513" t="s">
        <v>349</v>
      </c>
      <c r="L50" s="514">
        <f t="shared" si="4"/>
        <v>0</v>
      </c>
      <c r="M50" s="651"/>
      <c r="N50" s="385"/>
      <c r="AB50" s="904"/>
      <c r="AC50" s="905"/>
      <c r="AD50" s="905"/>
      <c r="AE50" s="905"/>
      <c r="AF50" s="905"/>
      <c r="AG50" s="905"/>
      <c r="AH50" s="905"/>
      <c r="AI50" s="905"/>
      <c r="AJ50" s="905"/>
      <c r="AK50" s="905"/>
      <c r="AL50" s="905"/>
      <c r="AM50" s="905"/>
      <c r="AN50" s="905"/>
      <c r="AO50" s="906"/>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229.68</v>
      </c>
      <c r="H51" s="520">
        <v>8.7680000000000007</v>
      </c>
      <c r="I51" s="519">
        <v>229.74</v>
      </c>
      <c r="J51" s="849">
        <v>9.0860000000000003</v>
      </c>
      <c r="K51" s="513" t="s">
        <v>188</v>
      </c>
      <c r="L51" s="514">
        <f t="shared" si="4"/>
        <v>0</v>
      </c>
      <c r="M51" s="784">
        <f>J49+J50+J51</f>
        <v>178.94600000000003</v>
      </c>
      <c r="AB51" s="429"/>
      <c r="AC51" s="422"/>
      <c r="AD51" s="422"/>
      <c r="AE51" s="422"/>
      <c r="AF51" s="422"/>
      <c r="AG51" s="422"/>
      <c r="AH51" s="422"/>
      <c r="AI51" s="422"/>
      <c r="AJ51" s="422"/>
      <c r="AK51" s="422"/>
      <c r="AL51" s="422"/>
      <c r="AM51" s="422"/>
      <c r="AN51" s="422"/>
      <c r="AO51" s="428"/>
      <c r="AP51">
        <f>MAX(AC7:AN36)</f>
        <v>1391.62</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149.25</v>
      </c>
      <c r="H52" s="518">
        <v>15.36</v>
      </c>
      <c r="I52" s="517">
        <v>148.59</v>
      </c>
      <c r="J52" s="850">
        <v>14.8</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38.46</v>
      </c>
      <c r="J53" s="851">
        <v>0.41399999999999998</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1</v>
      </c>
      <c r="AV53">
        <f t="shared" si="14"/>
        <v>15</v>
      </c>
      <c r="AW53">
        <f t="shared" si="14"/>
        <v>15</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69.790000000000006</v>
      </c>
      <c r="J54" s="852">
        <v>0.68700000000000006</v>
      </c>
      <c r="K54" s="513"/>
      <c r="L54" s="514">
        <f t="shared" si="4"/>
        <v>0</v>
      </c>
      <c r="M54" s="786"/>
      <c r="AB54" s="429"/>
      <c r="AC54" s="422"/>
      <c r="AD54" s="422"/>
      <c r="AE54" s="422"/>
      <c r="AF54" s="422"/>
      <c r="AG54" s="422"/>
      <c r="AH54" s="422"/>
      <c r="AI54" s="422"/>
      <c r="AJ54" s="422"/>
      <c r="AK54" s="422"/>
      <c r="AL54" s="422"/>
      <c r="AM54" s="422"/>
      <c r="AN54" s="422"/>
      <c r="AO54" s="428"/>
      <c r="AP54" s="273">
        <f>COUNT(AC41:AN41)</f>
        <v>5</v>
      </c>
      <c r="AQ54" t="s">
        <v>199</v>
      </c>
      <c r="AR54">
        <f t="shared" ref="AR54:BC54" si="15">AR52-AR53</f>
        <v>0</v>
      </c>
      <c r="AS54">
        <f t="shared" si="15"/>
        <v>0</v>
      </c>
      <c r="AT54">
        <f t="shared" si="15"/>
        <v>0</v>
      </c>
      <c r="AU54">
        <f t="shared" si="15"/>
        <v>14</v>
      </c>
      <c r="AV54">
        <f t="shared" si="15"/>
        <v>0</v>
      </c>
      <c r="AW54">
        <f t="shared" si="15"/>
        <v>0</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997.47000000000014</v>
      </c>
      <c r="I55" s="537"/>
      <c r="J55" s="539">
        <f>SUM(J11:J54)</f>
        <v>910.08100000000013</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0.91238934504295865</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0.55053524734820058</v>
      </c>
      <c r="H57" s="801"/>
      <c r="I57" s="802">
        <f>+J55/F55</f>
        <v>0.50230249375108793</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5</v>
      </c>
      <c r="AQ59" t="s">
        <v>198</v>
      </c>
      <c r="AR59">
        <f t="shared" ref="AR59:AY59" si="16">COUNT(AC22:AC37)</f>
        <v>16</v>
      </c>
      <c r="AS59">
        <f t="shared" si="16"/>
        <v>14</v>
      </c>
      <c r="AT59">
        <f t="shared" si="16"/>
        <v>16</v>
      </c>
      <c r="AU59">
        <f t="shared" si="16"/>
        <v>15</v>
      </c>
      <c r="AV59">
        <f t="shared" si="16"/>
        <v>16</v>
      </c>
      <c r="AW59">
        <f t="shared" si="16"/>
        <v>9</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0</v>
      </c>
      <c r="AV60">
        <f t="shared" si="17"/>
        <v>0</v>
      </c>
      <c r="AW60">
        <f t="shared" si="17"/>
        <v>6</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23</v>
      </c>
      <c r="G61" s="555" t="s">
        <v>259</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204</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54.5</v>
      </c>
      <c r="H66" s="255">
        <v>24.076000000000001</v>
      </c>
      <c r="I66" s="255">
        <v>53.5</v>
      </c>
      <c r="J66" s="255">
        <v>19.181000000000001</v>
      </c>
      <c r="K66" s="310" t="str">
        <f>IF(I66&gt;E66,"Limpas","")</f>
        <v/>
      </c>
      <c r="L66" s="732"/>
      <c r="M66" s="397"/>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339.5</v>
      </c>
      <c r="J67" s="296">
        <v>7.77</v>
      </c>
      <c r="K67" s="310"/>
      <c r="L67" s="733"/>
      <c r="M67" s="397"/>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73.23</v>
      </c>
      <c r="H68" s="296">
        <v>25.376999999999999</v>
      </c>
      <c r="I68" s="256">
        <v>75.209999999999994</v>
      </c>
      <c r="J68" s="296">
        <v>35.381</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461.3</v>
      </c>
      <c r="H69" s="327">
        <v>19.064</v>
      </c>
      <c r="I69" s="313">
        <v>460.82</v>
      </c>
      <c r="J69" s="296">
        <v>13.753</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206.17</v>
      </c>
      <c r="H70" s="257">
        <v>8.5139999999999993</v>
      </c>
      <c r="I70" s="823">
        <v>207.01</v>
      </c>
      <c r="J70" s="255">
        <v>8.6530000000000005</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316.10000000000002</v>
      </c>
      <c r="H71" s="820">
        <v>3.4119999999999999</v>
      </c>
      <c r="I71" s="821">
        <v>316.42</v>
      </c>
      <c r="J71" s="822">
        <v>3.5019999999999998</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81.12</v>
      </c>
      <c r="H72" s="256">
        <v>330.346</v>
      </c>
      <c r="I72" s="653">
        <v>81.77</v>
      </c>
      <c r="J72" s="296">
        <v>350.46300000000002</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86.34</v>
      </c>
      <c r="H73" s="602">
        <v>16.852</v>
      </c>
      <c r="I73" s="602">
        <v>88.01</v>
      </c>
      <c r="J73" s="602">
        <v>18.827999999999999</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115.82</v>
      </c>
      <c r="H75" s="296">
        <v>0.29799999999999999</v>
      </c>
      <c r="I75" s="329">
        <v>115.98</v>
      </c>
      <c r="J75" s="255">
        <v>0.32400000000000001</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117.38</v>
      </c>
      <c r="H76" s="296">
        <v>0.59299999999999997</v>
      </c>
      <c r="I76" s="653">
        <v>117.63</v>
      </c>
      <c r="J76" s="255">
        <v>0.61</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44.17</v>
      </c>
      <c r="H77" s="256">
        <v>4.2270000000000003</v>
      </c>
      <c r="I77" s="653">
        <v>44.36</v>
      </c>
      <c r="J77" s="255">
        <v>4.2830000000000004</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43.93</v>
      </c>
      <c r="H78" s="256">
        <v>2.0150000000000001</v>
      </c>
      <c r="I78" s="657">
        <v>50.55</v>
      </c>
      <c r="J78" s="255">
        <v>2.1440000000000001</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74.2</v>
      </c>
      <c r="H79" s="609">
        <v>0.38100000000000001</v>
      </c>
      <c r="I79" s="653">
        <v>74.5</v>
      </c>
      <c r="J79" s="255">
        <v>0.42699999999999999</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80.11</v>
      </c>
      <c r="H80" s="296">
        <v>8.0000000000000002E-3</v>
      </c>
      <c r="I80" s="653">
        <v>80.22</v>
      </c>
      <c r="J80" s="255">
        <v>1.0999999999999999E-2</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61.7</v>
      </c>
      <c r="H81" s="256">
        <v>5.1999999999999998E-2</v>
      </c>
      <c r="I81" s="660">
        <v>62.04</v>
      </c>
      <c r="J81" s="717">
        <v>6.5000000000000002E-2</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45.06</v>
      </c>
      <c r="H82" s="296">
        <v>0.13700000000000001</v>
      </c>
      <c r="I82" s="653">
        <v>45.3</v>
      </c>
      <c r="J82" s="255">
        <v>0.16</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134.4</v>
      </c>
      <c r="H83" s="256">
        <v>281.11</v>
      </c>
      <c r="I83" s="256">
        <v>132.66999999999999</v>
      </c>
      <c r="J83" s="707">
        <v>202.21</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183.22</v>
      </c>
      <c r="H84" s="256">
        <v>21.606999999999999</v>
      </c>
      <c r="I84" s="256">
        <v>183.63</v>
      </c>
      <c r="J84" s="707">
        <v>22.402000000000001</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108.45</v>
      </c>
      <c r="H85" s="256">
        <v>0.54100000000000004</v>
      </c>
      <c r="I85" s="256">
        <v>110.39</v>
      </c>
      <c r="J85" s="707">
        <v>1.093</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201.26</v>
      </c>
      <c r="H86" s="256">
        <v>8.7999999999999995E-2</v>
      </c>
      <c r="I86" s="257">
        <v>200.08</v>
      </c>
      <c r="J86" s="707">
        <v>3.2000000000000001E-2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220.03</v>
      </c>
      <c r="H87" s="256">
        <v>0.153</v>
      </c>
      <c r="I87" s="256">
        <v>219.07</v>
      </c>
      <c r="J87" s="707">
        <v>0.107</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192.8</v>
      </c>
      <c r="H88" s="256">
        <v>0.251</v>
      </c>
      <c r="I88" s="257">
        <v>192.27</v>
      </c>
      <c r="J88" s="708">
        <v>0.19</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162.19</v>
      </c>
      <c r="H89" s="256">
        <v>0.02</v>
      </c>
      <c r="I89" s="257">
        <v>164.77</v>
      </c>
      <c r="J89" s="707">
        <v>0.20799999999999999</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221.39</v>
      </c>
      <c r="H90" s="256">
        <v>0.128</v>
      </c>
      <c r="I90" s="257">
        <v>221.68</v>
      </c>
      <c r="J90" s="707">
        <v>0.14299999999999999</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241.06</v>
      </c>
      <c r="H91" s="255">
        <v>0.11700000000000001</v>
      </c>
      <c r="I91" s="365">
        <v>243.75</v>
      </c>
      <c r="J91" s="709">
        <v>0.501</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512.95000000000005</v>
      </c>
      <c r="H92" s="256">
        <v>6.3460000000000001</v>
      </c>
      <c r="I92" s="257">
        <v>513.41999999999996</v>
      </c>
      <c r="J92" s="708">
        <v>6.508</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v>
      </c>
      <c r="H93" s="256">
        <v>1.827</v>
      </c>
      <c r="I93" s="256">
        <v>144.80000000000001</v>
      </c>
      <c r="J93" s="708">
        <v>0.66800000000000004</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201.11</v>
      </c>
      <c r="H94" s="257">
        <v>1.321</v>
      </c>
      <c r="I94" s="256">
        <v>202.03</v>
      </c>
      <c r="J94" s="707">
        <v>1.7110000000000001</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323.87</v>
      </c>
      <c r="H95" s="257">
        <v>0.48799999999999999</v>
      </c>
      <c r="I95" s="257">
        <v>322.39999999999998</v>
      </c>
      <c r="J95" s="708">
        <v>0.36399999999999999</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127.6</v>
      </c>
      <c r="H96" s="256">
        <v>0.499</v>
      </c>
      <c r="I96" s="257">
        <v>128.43</v>
      </c>
      <c r="J96" s="707">
        <v>0.60699999999999998</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279.39</v>
      </c>
      <c r="H97" s="256">
        <v>0.16</v>
      </c>
      <c r="I97" s="256">
        <v>280.51</v>
      </c>
      <c r="J97" s="707">
        <v>0.249</v>
      </c>
      <c r="K97" s="310"/>
      <c r="L97" s="739"/>
      <c r="M97" s="404"/>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97.58</v>
      </c>
      <c r="H98" s="256">
        <v>1.9019999999999999</v>
      </c>
      <c r="I98" s="257">
        <v>97.85</v>
      </c>
      <c r="J98" s="708">
        <v>2.0680000000000001</v>
      </c>
      <c r="K98" s="310"/>
      <c r="L98" s="739"/>
      <c r="M98" s="404"/>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189.49</v>
      </c>
      <c r="H99" s="256">
        <v>7.4999999999999997E-2</v>
      </c>
      <c r="I99" s="257">
        <v>188.11</v>
      </c>
      <c r="J99" s="708">
        <v>2.8000000000000001E-2</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169.79</v>
      </c>
      <c r="H100" s="296">
        <v>6.3E-2</v>
      </c>
      <c r="I100" s="257">
        <v>170.75</v>
      </c>
      <c r="J100" s="708">
        <v>8.5999999999999993E-2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139.34</v>
      </c>
      <c r="H101" s="256">
        <v>6.4870000000000001</v>
      </c>
      <c r="I101" s="256">
        <v>139.32</v>
      </c>
      <c r="J101" s="710">
        <v>6.4329999999999998</v>
      </c>
      <c r="K101" s="310"/>
      <c r="L101" s="738"/>
      <c r="M101" s="404"/>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237.78</v>
      </c>
      <c r="H102" s="296">
        <v>1.746</v>
      </c>
      <c r="I102" s="256">
        <v>238.71</v>
      </c>
      <c r="J102" s="710">
        <v>2.2490000000000001</v>
      </c>
      <c r="K102" s="310"/>
      <c r="L102" s="738"/>
      <c r="M102" s="46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118.34</v>
      </c>
      <c r="H103" s="256">
        <v>2.1789999999999998</v>
      </c>
      <c r="I103" s="256">
        <v>118.28</v>
      </c>
      <c r="J103" s="707">
        <v>2.113</v>
      </c>
      <c r="K103" s="310"/>
      <c r="L103" s="741"/>
      <c r="M103" s="404"/>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109.74</v>
      </c>
      <c r="H104" s="256">
        <v>1.4930000000000001</v>
      </c>
      <c r="I104" s="256">
        <v>110.05</v>
      </c>
      <c r="J104" s="707">
        <v>1.782</v>
      </c>
      <c r="K104" s="310"/>
      <c r="L104" s="741"/>
      <c r="M104" s="405"/>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62.35</v>
      </c>
      <c r="H105" s="296">
        <v>16.670000000000002</v>
      </c>
      <c r="I105" s="256">
        <v>59.3</v>
      </c>
      <c r="J105" s="710">
        <v>12.23</v>
      </c>
      <c r="K105" s="310"/>
      <c r="L105" s="741"/>
      <c r="M105" s="854"/>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163.02000000000001</v>
      </c>
      <c r="H106" s="296">
        <v>183.93</v>
      </c>
      <c r="I106" s="416">
        <v>159.93</v>
      </c>
      <c r="J106" s="716">
        <v>156.86000000000001</v>
      </c>
      <c r="K106" s="310"/>
      <c r="L106" s="743"/>
      <c r="M106" s="854"/>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229.68</v>
      </c>
      <c r="H107" s="296">
        <v>8.7680000000000007</v>
      </c>
      <c r="I107" s="256">
        <v>229.78</v>
      </c>
      <c r="J107" s="296">
        <v>9.3010000000000002</v>
      </c>
      <c r="K107" s="310"/>
      <c r="L107" s="744"/>
      <c r="M107" s="854"/>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149.25</v>
      </c>
      <c r="H108" s="331">
        <v>15.36</v>
      </c>
      <c r="I108" s="654">
        <v>148.66</v>
      </c>
      <c r="J108" s="705">
        <v>14.86</v>
      </c>
      <c r="K108" s="391"/>
      <c r="L108" s="745"/>
      <c r="M108" s="855"/>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38.46</v>
      </c>
      <c r="J109" s="710">
        <v>0.41399999999999998</v>
      </c>
      <c r="K109" s="391"/>
      <c r="M109" s="856"/>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69.790000000000006</v>
      </c>
      <c r="J110" s="710">
        <v>0.68700000000000006</v>
      </c>
      <c r="K110" s="392"/>
      <c r="L110" s="311"/>
      <c r="M110" s="857"/>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997.47000000000014</v>
      </c>
      <c r="I111" s="317"/>
      <c r="J111" s="280">
        <f>SUM(J66:J110)</f>
        <v>911.65900000000045</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0.91397134750919862</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0.54780050581251727</v>
      </c>
      <c r="I113" s="324"/>
      <c r="J113" s="266">
        <f>+J111/F111</f>
        <v>0.500673966463687</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22</v>
      </c>
      <c r="G115" s="555" t="s">
        <v>259</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54.5</v>
      </c>
      <c r="H120" s="255">
        <v>24.076000000000001</v>
      </c>
      <c r="I120" s="255">
        <v>53.56</v>
      </c>
      <c r="J120" s="255">
        <v>19.446000000000002</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339.5</v>
      </c>
      <c r="J121" s="296">
        <v>7.77</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73.23</v>
      </c>
      <c r="H122" s="296">
        <v>25.376999999999999</v>
      </c>
      <c r="I122" s="256">
        <v>75.28</v>
      </c>
      <c r="J122" s="296">
        <v>35.76</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461.3</v>
      </c>
      <c r="H123" s="327">
        <v>19.064</v>
      </c>
      <c r="I123" s="313">
        <v>460.95</v>
      </c>
      <c r="J123" s="296">
        <v>15.08</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206.17</v>
      </c>
      <c r="H124" s="257">
        <v>8.5139999999999993</v>
      </c>
      <c r="I124" s="653">
        <v>207.01</v>
      </c>
      <c r="J124" s="707">
        <v>8.6530000000000005</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316.10000000000002</v>
      </c>
      <c r="H125" s="257">
        <v>3.4119999999999999</v>
      </c>
      <c r="I125" s="653">
        <v>316.42</v>
      </c>
      <c r="J125" s="707">
        <v>3.5019999999999998</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81.12</v>
      </c>
      <c r="H126" s="256">
        <v>330.346</v>
      </c>
      <c r="I126" s="818">
        <v>81.88</v>
      </c>
      <c r="J126" s="707">
        <v>353.94900000000001</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86.34</v>
      </c>
      <c r="H127" s="817">
        <v>16.852</v>
      </c>
      <c r="I127" s="817">
        <v>88.01</v>
      </c>
      <c r="J127" s="817">
        <v>18.827999999999999</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115.82</v>
      </c>
      <c r="H129" s="296">
        <v>0.29799999999999999</v>
      </c>
      <c r="I129" s="329">
        <v>15.99</v>
      </c>
      <c r="J129" s="707">
        <v>0.32600000000000001</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117.38</v>
      </c>
      <c r="H130" s="296">
        <v>0.59299999999999997</v>
      </c>
      <c r="I130" s="653">
        <v>117.64</v>
      </c>
      <c r="J130" s="707">
        <v>0.61199999999999999</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44.17</v>
      </c>
      <c r="H131" s="256">
        <v>4.2270000000000003</v>
      </c>
      <c r="I131" s="653">
        <v>44.36</v>
      </c>
      <c r="J131" s="713">
        <v>4.2830000000000004</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43.93</v>
      </c>
      <c r="H132" s="256">
        <v>2.0150000000000001</v>
      </c>
      <c r="I132" s="657">
        <v>50.55</v>
      </c>
      <c r="J132" s="707">
        <v>2.1440000000000001</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74.2</v>
      </c>
      <c r="H133" s="609">
        <v>0.38100000000000001</v>
      </c>
      <c r="I133" s="653">
        <v>74.5</v>
      </c>
      <c r="J133" s="707">
        <v>0.42699999999999999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80.11</v>
      </c>
      <c r="H134" s="296">
        <v>8.0000000000000002E-3</v>
      </c>
      <c r="I134" s="653">
        <v>80.23</v>
      </c>
      <c r="J134" s="707">
        <v>1.0999999999999999E-2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61.7</v>
      </c>
      <c r="H135" s="256">
        <v>5.1999999999999998E-2</v>
      </c>
      <c r="I135" s="653">
        <v>62.05</v>
      </c>
      <c r="J135" s="707">
        <v>6.6000000000000003E-2</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45.06</v>
      </c>
      <c r="H136" s="296">
        <v>0.13700000000000001</v>
      </c>
      <c r="I136" s="653">
        <v>45.3</v>
      </c>
      <c r="J136" s="707">
        <v>0.16</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134.4</v>
      </c>
      <c r="H137" s="256">
        <v>281.11</v>
      </c>
      <c r="I137" s="256">
        <v>132.72</v>
      </c>
      <c r="J137" s="707">
        <v>204.256</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183.22</v>
      </c>
      <c r="H138" s="256">
        <v>21.606999999999999</v>
      </c>
      <c r="I138" s="256">
        <v>183.67</v>
      </c>
      <c r="J138" s="707">
        <v>22.48</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108.45</v>
      </c>
      <c r="H139" s="256">
        <v>0.54100000000000004</v>
      </c>
      <c r="I139" s="256">
        <v>110.45</v>
      </c>
      <c r="J139" s="707">
        <v>1.113</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201.26</v>
      </c>
      <c r="H140" s="256">
        <v>8.7999999999999995E-2</v>
      </c>
      <c r="I140" s="257">
        <v>200.08</v>
      </c>
      <c r="J140" s="707">
        <v>3.2000000000000001E-2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220.03</v>
      </c>
      <c r="H141" s="256">
        <v>0.153</v>
      </c>
      <c r="I141" s="256">
        <v>219.08</v>
      </c>
      <c r="J141" s="707">
        <v>0.107</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192.8</v>
      </c>
      <c r="H142" s="256">
        <v>0.251</v>
      </c>
      <c r="I142" s="257">
        <v>192.34</v>
      </c>
      <c r="J142" s="708">
        <v>0.19600000000000001</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162.19</v>
      </c>
      <c r="H143" s="256">
        <v>0.02</v>
      </c>
      <c r="I143" s="257">
        <v>164.8</v>
      </c>
      <c r="J143" s="707">
        <v>0.21099999999999999</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221.39</v>
      </c>
      <c r="H144" s="256">
        <v>0.128</v>
      </c>
      <c r="I144" s="257">
        <v>221.68</v>
      </c>
      <c r="J144" s="707">
        <v>0.14299999999999999</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241.06</v>
      </c>
      <c r="H145" s="255">
        <v>0.11700000000000001</v>
      </c>
      <c r="I145" s="365">
        <v>244.03</v>
      </c>
      <c r="J145" s="709">
        <v>0.56299999999999994</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512.95000000000005</v>
      </c>
      <c r="H146" s="256">
        <v>6.3460000000000001</v>
      </c>
      <c r="I146" s="257">
        <v>513.53</v>
      </c>
      <c r="J146" s="708">
        <v>6.5110000000000001</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v>
      </c>
      <c r="H147" s="256">
        <v>1.827</v>
      </c>
      <c r="I147" s="256">
        <v>144.80000000000001</v>
      </c>
      <c r="J147" s="708">
        <v>0.66800000000000004</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201.11</v>
      </c>
      <c r="H148" s="257">
        <v>1.321</v>
      </c>
      <c r="I148" s="256">
        <v>202.1</v>
      </c>
      <c r="J148" s="707">
        <v>1.744</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323.87</v>
      </c>
      <c r="H149" s="257">
        <v>0.48799999999999999</v>
      </c>
      <c r="I149" s="257">
        <v>322.55</v>
      </c>
      <c r="J149" s="708">
        <v>0.376</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127.6</v>
      </c>
      <c r="H150" s="256">
        <v>0.499</v>
      </c>
      <c r="I150" s="257">
        <v>128.22</v>
      </c>
      <c r="J150" s="707">
        <v>0.57899999999999996</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279.39</v>
      </c>
      <c r="H151" s="256">
        <v>0.16</v>
      </c>
      <c r="I151" s="256">
        <v>281</v>
      </c>
      <c r="J151" s="707">
        <v>0.29499999999999998</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97.58</v>
      </c>
      <c r="H152" s="256">
        <v>1.9019999999999999</v>
      </c>
      <c r="I152" s="257">
        <v>97.86</v>
      </c>
      <c r="J152" s="708">
        <v>2.0739999999999998</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189.49</v>
      </c>
      <c r="H153" s="256">
        <v>7.4999999999999997E-2</v>
      </c>
      <c r="I153" s="551">
        <v>188.11</v>
      </c>
      <c r="J153" s="714">
        <v>2.8000000000000001E-2</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169.79</v>
      </c>
      <c r="H154" s="296">
        <v>6.3E-2</v>
      </c>
      <c r="I154" s="257">
        <v>170.76</v>
      </c>
      <c r="J154" s="708">
        <v>8.5999999999999993E-2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139.34</v>
      </c>
      <c r="H155" s="256">
        <v>6.4870000000000001</v>
      </c>
      <c r="I155" s="256">
        <v>139.34</v>
      </c>
      <c r="J155" s="710">
        <v>6.4870000000000001</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237.78</v>
      </c>
      <c r="H156" s="296">
        <v>1.746</v>
      </c>
      <c r="I156" s="256">
        <v>238.75</v>
      </c>
      <c r="J156" s="710">
        <v>2.27</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118.34</v>
      </c>
      <c r="H157" s="256">
        <v>2.1789999999999998</v>
      </c>
      <c r="I157" s="256">
        <v>118.29</v>
      </c>
      <c r="J157" s="707">
        <v>2.13</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109.74</v>
      </c>
      <c r="H158" s="256">
        <v>1.4930000000000001</v>
      </c>
      <c r="I158" s="645">
        <v>110.06</v>
      </c>
      <c r="J158" s="715">
        <v>1.8009999999999999</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62.35</v>
      </c>
      <c r="H159" s="296">
        <v>16.670000000000002</v>
      </c>
      <c r="I159" s="256">
        <v>59.55</v>
      </c>
      <c r="J159" s="710">
        <v>12.56</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163.02000000000001</v>
      </c>
      <c r="H160" s="296">
        <v>183.93</v>
      </c>
      <c r="I160" s="416">
        <v>160.11000000000001</v>
      </c>
      <c r="J160" s="716">
        <v>160.63999999999999</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229.67</v>
      </c>
      <c r="H161" s="296">
        <v>8.7159999999999993</v>
      </c>
      <c r="I161" s="256">
        <v>229.81</v>
      </c>
      <c r="J161" s="710">
        <v>9.4640000000000004</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149.25</v>
      </c>
      <c r="H162" s="331">
        <v>15.36</v>
      </c>
      <c r="I162" s="314">
        <v>148.72999999999999</v>
      </c>
      <c r="J162" s="705">
        <v>14.92</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38.46</v>
      </c>
      <c r="J163" s="710">
        <v>0.41399999999999998</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69.790000000000006</v>
      </c>
      <c r="J164" s="710">
        <v>0.68700000000000006</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997.41800000000012</v>
      </c>
      <c r="I165" s="317"/>
      <c r="J165" s="280">
        <f>SUM(J120:J164)</f>
        <v>923.85200000000009</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0.92624356087417714</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0.54777194793478434</v>
      </c>
      <c r="I167" s="324"/>
      <c r="J167" s="266">
        <f>+J165/F165</f>
        <v>0.50737023960209893</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21</v>
      </c>
      <c r="G169" s="555" t="s">
        <v>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54.5</v>
      </c>
      <c r="H174" s="255">
        <v>24.076000000000001</v>
      </c>
      <c r="I174" s="677">
        <v>53.59</v>
      </c>
      <c r="J174" s="677">
        <v>19.577999999999999</v>
      </c>
      <c r="K174" s="496">
        <v>0</v>
      </c>
      <c r="L174" s="478"/>
      <c r="M174" s="255">
        <v>25.474</v>
      </c>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339.5</v>
      </c>
      <c r="J175" s="697">
        <v>7.77</v>
      </c>
      <c r="K175" s="496">
        <v>0</v>
      </c>
      <c r="L175" s="479"/>
      <c r="M175" s="296">
        <v>7.7220000000000004</v>
      </c>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73.23</v>
      </c>
      <c r="H176" s="296">
        <v>25.376999999999999</v>
      </c>
      <c r="I176" s="327">
        <v>75.34</v>
      </c>
      <c r="J176" s="697">
        <v>36.087000000000003</v>
      </c>
      <c r="K176" s="496">
        <v>0</v>
      </c>
      <c r="L176" s="478"/>
      <c r="M176" s="296">
        <v>47.658999999999999</v>
      </c>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461.3</v>
      </c>
      <c r="H177" s="327">
        <v>19.064</v>
      </c>
      <c r="I177" s="313">
        <v>461.01</v>
      </c>
      <c r="J177" s="697">
        <v>15.72</v>
      </c>
      <c r="K177" s="496">
        <v>0</v>
      </c>
      <c r="L177" s="480"/>
      <c r="M177" s="296">
        <v>37.030999999999999</v>
      </c>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206.17</v>
      </c>
      <c r="H178" s="257">
        <v>8.5139999999999993</v>
      </c>
      <c r="I178" s="671">
        <v>207.01</v>
      </c>
      <c r="J178" s="697">
        <v>8.6530000000000005</v>
      </c>
      <c r="K178" s="496">
        <v>0</v>
      </c>
      <c r="L178" s="478"/>
      <c r="M178" s="707">
        <v>8.6530000000000005</v>
      </c>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316.10000000000002</v>
      </c>
      <c r="H179" s="257">
        <v>3.4119999999999999</v>
      </c>
      <c r="I179" s="671">
        <v>316.42</v>
      </c>
      <c r="J179" s="697">
        <v>3.5019999999999998</v>
      </c>
      <c r="K179" s="496">
        <v>0</v>
      </c>
      <c r="L179" s="478"/>
      <c r="M179" s="707">
        <v>4.6429999999999998</v>
      </c>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81.12</v>
      </c>
      <c r="H180" s="256">
        <v>330.346</v>
      </c>
      <c r="I180" s="671">
        <v>81.98</v>
      </c>
      <c r="J180" s="697">
        <v>357.13900000000001</v>
      </c>
      <c r="K180" s="496">
        <v>0</v>
      </c>
      <c r="L180" s="478"/>
      <c r="M180" s="707">
        <v>511.048</v>
      </c>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86.34</v>
      </c>
      <c r="H181" s="817">
        <v>16.852</v>
      </c>
      <c r="I181" s="817">
        <v>88.01</v>
      </c>
      <c r="J181" s="817">
        <v>18.827999999999999</v>
      </c>
      <c r="K181" s="813"/>
      <c r="L181" s="478"/>
      <c r="M181" s="817">
        <v>19.556999999999999</v>
      </c>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816"/>
      <c r="AB182"/>
      <c r="AC182"/>
      <c r="AD182"/>
      <c r="AE182"/>
      <c r="AF182"/>
      <c r="AG182"/>
      <c r="AH182"/>
      <c r="AI182"/>
      <c r="AJ182"/>
      <c r="AK182"/>
      <c r="AL182"/>
      <c r="AM182"/>
      <c r="AN182"/>
      <c r="AO182"/>
      <c r="AP182" s="270"/>
      <c r="AQ182" s="281">
        <f t="shared" si="39"/>
        <v>107</v>
      </c>
      <c r="AR182">
        <f t="shared" si="40"/>
        <v>1335.48</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115.82</v>
      </c>
      <c r="H183" s="296">
        <v>0.29799999999999999</v>
      </c>
      <c r="I183" s="329">
        <v>116</v>
      </c>
      <c r="J183" s="697">
        <v>0.32800000000000001</v>
      </c>
      <c r="K183" s="496">
        <v>0</v>
      </c>
      <c r="L183" s="478"/>
      <c r="M183" s="707">
        <v>0.49199999999999999</v>
      </c>
      <c r="AB183"/>
      <c r="AC183"/>
      <c r="AD183"/>
      <c r="AE183"/>
      <c r="AF183"/>
      <c r="AG183"/>
      <c r="AH183"/>
      <c r="AI183"/>
      <c r="AJ183"/>
      <c r="AK183"/>
      <c r="AL183"/>
      <c r="AM183"/>
      <c r="AN183"/>
      <c r="AO183"/>
      <c r="AP183" s="270"/>
      <c r="AQ183" s="281">
        <f t="shared" si="39"/>
        <v>108</v>
      </c>
      <c r="AR183">
        <f t="shared" si="40"/>
        <v>1327.13</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117.38</v>
      </c>
      <c r="H184" s="296">
        <v>0.59299999999999997</v>
      </c>
      <c r="I184" s="671">
        <v>117.64</v>
      </c>
      <c r="J184" s="697">
        <v>0.61199999999999999</v>
      </c>
      <c r="K184" s="496">
        <v>0</v>
      </c>
      <c r="L184" s="478"/>
      <c r="M184" s="707">
        <v>0.81299999999999994</v>
      </c>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44.17</v>
      </c>
      <c r="H185" s="256">
        <v>4.2270000000000003</v>
      </c>
      <c r="I185" s="671">
        <v>44.36</v>
      </c>
      <c r="J185" s="697">
        <v>4.2830000000000004</v>
      </c>
      <c r="K185" s="496">
        <v>0</v>
      </c>
      <c r="L185" s="402"/>
      <c r="M185" s="713">
        <v>4.5279999999999996</v>
      </c>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43.93</v>
      </c>
      <c r="H186" s="256">
        <v>2.0150000000000001</v>
      </c>
      <c r="I186" s="672">
        <v>50.55</v>
      </c>
      <c r="J186" s="697">
        <v>2.1440000000000001</v>
      </c>
      <c r="K186" s="496">
        <v>0</v>
      </c>
      <c r="L186" s="402"/>
      <c r="M186" s="707">
        <v>2.3820000000000001</v>
      </c>
      <c r="AB186"/>
      <c r="AC186"/>
      <c r="AD186"/>
      <c r="AE186"/>
      <c r="AF186"/>
      <c r="AG186"/>
      <c r="AH186"/>
      <c r="AI186"/>
      <c r="AJ186"/>
      <c r="AK186"/>
      <c r="AL186"/>
      <c r="AM186"/>
      <c r="AN186"/>
      <c r="AO186"/>
      <c r="AP186" s="270"/>
      <c r="AQ186" s="281">
        <f>AQ183+1</f>
        <v>109</v>
      </c>
      <c r="AR186">
        <f>IF(AF24="tad","tad",AF24)</f>
        <v>1326.59</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74.2</v>
      </c>
      <c r="H187" s="609">
        <v>0.38100000000000001</v>
      </c>
      <c r="I187" s="671">
        <v>74.5</v>
      </c>
      <c r="J187" s="697">
        <v>0.42699999999999999</v>
      </c>
      <c r="K187" s="496">
        <v>0</v>
      </c>
      <c r="L187" s="402"/>
      <c r="M187" s="707">
        <v>0.65400000000000003</v>
      </c>
      <c r="AB187"/>
      <c r="AC187"/>
      <c r="AD187"/>
      <c r="AE187"/>
      <c r="AF187"/>
      <c r="AG187"/>
      <c r="AH187"/>
      <c r="AI187"/>
      <c r="AJ187"/>
      <c r="AK187"/>
      <c r="AL187"/>
      <c r="AM187"/>
      <c r="AN187"/>
      <c r="AO187"/>
      <c r="AP187" s="270"/>
      <c r="AQ187" s="281">
        <f t="shared" si="39"/>
        <v>110</v>
      </c>
      <c r="AR187">
        <f>IF(AF25="tad","tad",AF25)</f>
        <v>1333.99</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80.11</v>
      </c>
      <c r="H188" s="296">
        <v>8.0000000000000002E-3</v>
      </c>
      <c r="I188" s="671">
        <v>80.239999999999995</v>
      </c>
      <c r="J188" s="697">
        <v>1.0999999999999999E-2</v>
      </c>
      <c r="K188" s="496">
        <v>0</v>
      </c>
      <c r="L188" s="402"/>
      <c r="M188" s="707">
        <v>2.8000000000000001E-2</v>
      </c>
      <c r="AB188"/>
      <c r="AC188"/>
      <c r="AD188"/>
      <c r="AE188"/>
      <c r="AF188"/>
      <c r="AG188"/>
      <c r="AH188"/>
      <c r="AI188"/>
      <c r="AJ188"/>
      <c r="AK188"/>
      <c r="AL188"/>
      <c r="AM188"/>
      <c r="AN188"/>
      <c r="AO188"/>
      <c r="AP188" s="270"/>
      <c r="AQ188" s="281">
        <f t="shared" si="39"/>
        <v>111</v>
      </c>
      <c r="AR188">
        <f>IF(AF26="tad","tad",AF26)</f>
        <v>1337.27</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61.7</v>
      </c>
      <c r="H189" s="328">
        <v>5.1999999999999998E-2</v>
      </c>
      <c r="I189" s="671">
        <v>62.06</v>
      </c>
      <c r="J189" s="697">
        <v>6.7000000000000004E-2</v>
      </c>
      <c r="K189" s="496">
        <v>0</v>
      </c>
      <c r="L189" s="402"/>
      <c r="M189" s="707">
        <v>0.124</v>
      </c>
      <c r="AB189"/>
      <c r="AC189"/>
      <c r="AD189"/>
      <c r="AE189"/>
      <c r="AF189"/>
      <c r="AG189"/>
      <c r="AH189"/>
      <c r="AI189"/>
      <c r="AJ189"/>
      <c r="AK189"/>
      <c r="AL189"/>
      <c r="AM189"/>
      <c r="AN189"/>
      <c r="AO189"/>
      <c r="AP189" s="270"/>
      <c r="AQ189" s="281">
        <f t="shared" si="39"/>
        <v>112</v>
      </c>
      <c r="AR189">
        <f>IF(AF28="tad","tad",AF28)</f>
        <v>1350.11</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45.06</v>
      </c>
      <c r="H190" s="296">
        <v>0.13700000000000001</v>
      </c>
      <c r="I190" s="671">
        <v>45.3</v>
      </c>
      <c r="J190" s="697">
        <v>0.16</v>
      </c>
      <c r="K190" s="496">
        <v>0</v>
      </c>
      <c r="L190" s="403"/>
      <c r="M190" s="707">
        <v>0.245</v>
      </c>
      <c r="AB190"/>
      <c r="AC190"/>
      <c r="AD190"/>
      <c r="AE190"/>
      <c r="AF190"/>
      <c r="AG190"/>
      <c r="AH190"/>
      <c r="AI190"/>
      <c r="AJ190"/>
      <c r="AK190"/>
      <c r="AL190"/>
      <c r="AM190"/>
      <c r="AN190"/>
      <c r="AO190"/>
      <c r="AP190" s="270"/>
      <c r="AQ190" s="281">
        <f t="shared" si="39"/>
        <v>113</v>
      </c>
      <c r="AR190">
        <f t="shared" ref="AR190:AR198" si="43">IF(AF28="tad","tad",AF28)</f>
        <v>1350.11</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134.4</v>
      </c>
      <c r="H191" s="256">
        <v>281.11</v>
      </c>
      <c r="I191" s="327">
        <v>132.78</v>
      </c>
      <c r="J191" s="700">
        <v>206.727</v>
      </c>
      <c r="K191" s="496">
        <v>0</v>
      </c>
      <c r="L191" s="402"/>
      <c r="M191" s="707">
        <v>289.37</v>
      </c>
      <c r="AB191"/>
      <c r="AC191"/>
      <c r="AD191"/>
      <c r="AE191"/>
      <c r="AF191"/>
      <c r="AG191"/>
      <c r="AH191"/>
      <c r="AI191"/>
      <c r="AJ191"/>
      <c r="AK191"/>
      <c r="AL191"/>
      <c r="AM191"/>
      <c r="AN191"/>
      <c r="AO191"/>
      <c r="AP191" s="270"/>
      <c r="AQ191" s="281">
        <f t="shared" si="39"/>
        <v>114</v>
      </c>
      <c r="AR191">
        <f t="shared" si="43"/>
        <v>1357.36</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183.22</v>
      </c>
      <c r="H192" s="256">
        <v>21.606999999999999</v>
      </c>
      <c r="I192" s="327">
        <v>183.72</v>
      </c>
      <c r="J192" s="700">
        <v>22.577999999999999</v>
      </c>
      <c r="K192" s="496" t="s">
        <v>187</v>
      </c>
      <c r="L192" s="402"/>
      <c r="M192" s="707">
        <v>24.347999999999999</v>
      </c>
      <c r="AB192"/>
      <c r="AC192"/>
      <c r="AD192"/>
      <c r="AE192"/>
      <c r="AF192"/>
      <c r="AG192"/>
      <c r="AH192"/>
      <c r="AI192"/>
      <c r="AJ192"/>
      <c r="AK192"/>
      <c r="AL192"/>
      <c r="AM192"/>
      <c r="AN192"/>
      <c r="AO192"/>
      <c r="AP192" s="270"/>
      <c r="AQ192" s="281">
        <f t="shared" si="39"/>
        <v>115</v>
      </c>
      <c r="AR192">
        <f t="shared" si="43"/>
        <v>1370.29</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108.45</v>
      </c>
      <c r="H193" s="256">
        <v>0.54100000000000004</v>
      </c>
      <c r="I193" s="327">
        <v>110.54</v>
      </c>
      <c r="J193" s="700">
        <v>1.1439999999999999</v>
      </c>
      <c r="K193" s="496" t="s">
        <v>187</v>
      </c>
      <c r="L193" s="403"/>
      <c r="M193" s="707">
        <v>2.1030000000000002</v>
      </c>
      <c r="AB193"/>
      <c r="AC193"/>
      <c r="AD193"/>
      <c r="AE193"/>
      <c r="AF193"/>
      <c r="AG193"/>
      <c r="AH193"/>
      <c r="AI193"/>
      <c r="AJ193"/>
      <c r="AK193"/>
      <c r="AL193"/>
      <c r="AM193"/>
      <c r="AN193"/>
      <c r="AO193"/>
      <c r="AP193" s="270"/>
      <c r="AQ193" s="281">
        <f t="shared" si="39"/>
        <v>116</v>
      </c>
      <c r="AR193">
        <f t="shared" si="43"/>
        <v>1372.79</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201.26</v>
      </c>
      <c r="H194" s="256">
        <v>8.7999999999999995E-2</v>
      </c>
      <c r="I194" s="673">
        <v>200.09</v>
      </c>
      <c r="J194" s="700">
        <v>3.2000000000000001E-2</v>
      </c>
      <c r="K194" s="496">
        <v>0</v>
      </c>
      <c r="L194" s="403"/>
      <c r="M194" s="707">
        <v>6.2E-2</v>
      </c>
      <c r="AB194"/>
      <c r="AC194"/>
      <c r="AD194"/>
      <c r="AE194"/>
      <c r="AF194"/>
      <c r="AG194"/>
      <c r="AH194"/>
      <c r="AI194"/>
      <c r="AJ194"/>
      <c r="AK194"/>
      <c r="AL194"/>
      <c r="AM194"/>
      <c r="AN194"/>
      <c r="AO194"/>
      <c r="AP194" s="270"/>
      <c r="AQ194" s="281">
        <f t="shared" si="39"/>
        <v>117</v>
      </c>
      <c r="AR194">
        <f t="shared" si="43"/>
        <v>1376.83</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220.03</v>
      </c>
      <c r="H195" s="256">
        <v>0.153</v>
      </c>
      <c r="I195" s="327">
        <v>219.08</v>
      </c>
      <c r="J195" s="700">
        <v>0.107</v>
      </c>
      <c r="K195" s="496">
        <v>0</v>
      </c>
      <c r="L195" s="403"/>
      <c r="M195" s="707">
        <v>0.223</v>
      </c>
      <c r="AB195"/>
      <c r="AC195"/>
      <c r="AD195"/>
      <c r="AE195"/>
      <c r="AF195"/>
      <c r="AG195"/>
      <c r="AH195"/>
      <c r="AI195"/>
      <c r="AJ195"/>
      <c r="AK195"/>
      <c r="AL195"/>
      <c r="AM195"/>
      <c r="AN195"/>
      <c r="AO195"/>
      <c r="AP195" s="270"/>
      <c r="AQ195" s="281">
        <f t="shared" si="39"/>
        <v>118</v>
      </c>
      <c r="AR195">
        <f t="shared" si="43"/>
        <v>1384.87</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192.8</v>
      </c>
      <c r="H196" s="256">
        <v>0.251</v>
      </c>
      <c r="I196" s="673">
        <v>192.45</v>
      </c>
      <c r="J196" s="701">
        <v>0.20799999999999999</v>
      </c>
      <c r="K196" s="496">
        <v>0</v>
      </c>
      <c r="L196" s="402"/>
      <c r="M196" s="708">
        <v>0.52400000000000002</v>
      </c>
      <c r="AB196"/>
      <c r="AC196"/>
      <c r="AD196"/>
      <c r="AE196"/>
      <c r="AF196"/>
      <c r="AG196"/>
      <c r="AH196"/>
      <c r="AI196"/>
      <c r="AJ196"/>
      <c r="AK196"/>
      <c r="AL196"/>
      <c r="AM196"/>
      <c r="AN196"/>
      <c r="AO196"/>
      <c r="AP196" s="270"/>
      <c r="AQ196" s="281">
        <f t="shared" si="39"/>
        <v>119</v>
      </c>
      <c r="AR196">
        <f t="shared" si="43"/>
        <v>1388.32</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162.19</v>
      </c>
      <c r="H197" s="256">
        <v>0.02</v>
      </c>
      <c r="I197" s="673">
        <v>164.81</v>
      </c>
      <c r="J197" s="700">
        <v>0.21199999999999999</v>
      </c>
      <c r="K197" s="496">
        <v>0</v>
      </c>
      <c r="L197" s="403"/>
      <c r="M197" s="707">
        <v>0.25800000000000001</v>
      </c>
      <c r="AB197"/>
      <c r="AC197"/>
      <c r="AD197"/>
      <c r="AE197"/>
      <c r="AF197"/>
      <c r="AG197"/>
      <c r="AH197"/>
      <c r="AI197"/>
      <c r="AJ197"/>
      <c r="AK197"/>
      <c r="AL197"/>
      <c r="AM197"/>
      <c r="AN197"/>
      <c r="AO197"/>
      <c r="AP197" s="270"/>
      <c r="AQ197" s="281">
        <f t="shared" si="39"/>
        <v>120</v>
      </c>
      <c r="AR197">
        <f t="shared" si="43"/>
        <v>1390.03</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221.39</v>
      </c>
      <c r="H198" s="256">
        <v>0.128</v>
      </c>
      <c r="I198" s="673">
        <v>221.69</v>
      </c>
      <c r="J198" s="700">
        <v>0.14299999999999999</v>
      </c>
      <c r="K198" s="496">
        <v>0</v>
      </c>
      <c r="L198" s="402"/>
      <c r="M198" s="707">
        <v>0.18</v>
      </c>
      <c r="AB198"/>
      <c r="AC198"/>
      <c r="AD198"/>
      <c r="AE198"/>
      <c r="AF198"/>
      <c r="AG198"/>
      <c r="AH198"/>
      <c r="AI198"/>
      <c r="AJ198"/>
      <c r="AK198"/>
      <c r="AL198"/>
      <c r="AM198"/>
      <c r="AN198"/>
      <c r="AO198"/>
      <c r="AP198" s="270"/>
      <c r="AQ198" s="281">
        <f t="shared" si="39"/>
        <v>121</v>
      </c>
      <c r="AR198">
        <f t="shared" si="43"/>
        <v>1391.62</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241.06</v>
      </c>
      <c r="H199" s="255">
        <v>0.11700000000000001</v>
      </c>
      <c r="I199" s="674">
        <v>244.34</v>
      </c>
      <c r="J199" s="702">
        <v>0.625</v>
      </c>
      <c r="K199" s="496">
        <v>0</v>
      </c>
      <c r="L199" s="402"/>
      <c r="M199" s="709">
        <v>0.87</v>
      </c>
      <c r="AB199"/>
      <c r="AC199"/>
      <c r="AD199"/>
      <c r="AE199"/>
      <c r="AF199"/>
      <c r="AG199"/>
      <c r="AH199"/>
      <c r="AI199"/>
      <c r="AJ199"/>
      <c r="AK199"/>
      <c r="AL199"/>
      <c r="AM199"/>
      <c r="AN199"/>
      <c r="AO199"/>
      <c r="AP199" s="270"/>
      <c r="AQ199" s="281">
        <f t="shared" si="39"/>
        <v>122</v>
      </c>
      <c r="AR199">
        <f t="shared" ref="AR199:AR210" si="44">IF(AG7="tad","tad",AG7)</f>
        <v>1386.49</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512.95000000000005</v>
      </c>
      <c r="H200" s="256">
        <v>6.3460000000000001</v>
      </c>
      <c r="I200" s="673">
        <v>513.48</v>
      </c>
      <c r="J200" s="701">
        <v>6.5289999999999999</v>
      </c>
      <c r="K200" s="496">
        <v>0</v>
      </c>
      <c r="L200" s="403"/>
      <c r="M200" s="708">
        <v>7.0789999999999997</v>
      </c>
      <c r="AB200"/>
      <c r="AC200"/>
      <c r="AD200"/>
      <c r="AE200"/>
      <c r="AF200"/>
      <c r="AG200"/>
      <c r="AH200"/>
      <c r="AI200"/>
      <c r="AJ200"/>
      <c r="AK200"/>
      <c r="AL200"/>
      <c r="AM200"/>
      <c r="AN200"/>
      <c r="AO200"/>
      <c r="AP200" s="270"/>
      <c r="AQ200" s="281">
        <f t="shared" si="39"/>
        <v>123</v>
      </c>
      <c r="AR200">
        <f t="shared" si="44"/>
        <v>1380.6</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v>
      </c>
      <c r="H201" s="256">
        <v>1.827</v>
      </c>
      <c r="I201" s="327">
        <v>144.80000000000001</v>
      </c>
      <c r="J201" s="701">
        <v>0.66800000000000004</v>
      </c>
      <c r="K201" s="496">
        <v>0</v>
      </c>
      <c r="L201" s="403"/>
      <c r="M201" s="708">
        <v>0.60599999999999998</v>
      </c>
      <c r="AB201"/>
      <c r="AC201"/>
      <c r="AD201"/>
      <c r="AE201"/>
      <c r="AF201"/>
      <c r="AG201"/>
      <c r="AH201"/>
      <c r="AI201"/>
      <c r="AJ201"/>
      <c r="AK201"/>
      <c r="AL201"/>
      <c r="AM201"/>
      <c r="AN201"/>
      <c r="AO201"/>
      <c r="AP201" s="270"/>
      <c r="AQ201" s="281">
        <f t="shared" si="39"/>
        <v>124</v>
      </c>
      <c r="AR201">
        <f t="shared" si="44"/>
        <v>1373.84</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201.11</v>
      </c>
      <c r="H202" s="257">
        <v>1.321</v>
      </c>
      <c r="I202" s="327">
        <v>202.22</v>
      </c>
      <c r="J202" s="700">
        <v>1.802</v>
      </c>
      <c r="K202" s="496">
        <v>0</v>
      </c>
      <c r="L202" s="403"/>
      <c r="M202" s="707">
        <v>3.0459999999999998</v>
      </c>
      <c r="AB202"/>
      <c r="AC202"/>
      <c r="AD202"/>
      <c r="AE202"/>
      <c r="AF202"/>
      <c r="AG202"/>
      <c r="AH202"/>
      <c r="AI202"/>
      <c r="AJ202"/>
      <c r="AK202"/>
      <c r="AL202"/>
      <c r="AM202"/>
      <c r="AN202"/>
      <c r="AO202"/>
      <c r="AP202" s="270"/>
      <c r="AQ202" s="281">
        <f t="shared" si="39"/>
        <v>125</v>
      </c>
      <c r="AR202">
        <f t="shared" si="44"/>
        <v>1368.56</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323.87</v>
      </c>
      <c r="H203" s="257">
        <v>0.48799999999999999</v>
      </c>
      <c r="I203" s="673">
        <v>322.8</v>
      </c>
      <c r="J203" s="701">
        <v>0.39600000000000002</v>
      </c>
      <c r="K203" s="496">
        <v>0</v>
      </c>
      <c r="L203" s="404"/>
      <c r="M203" s="708">
        <v>0.59</v>
      </c>
      <c r="AB203"/>
      <c r="AC203"/>
      <c r="AD203"/>
      <c r="AE203"/>
      <c r="AF203"/>
      <c r="AG203"/>
      <c r="AH203"/>
      <c r="AI203"/>
      <c r="AJ203"/>
      <c r="AK203"/>
      <c r="AL203"/>
      <c r="AM203"/>
      <c r="AN203"/>
      <c r="AO203"/>
      <c r="AP203" s="270"/>
      <c r="AQ203" s="281">
        <f t="shared" si="39"/>
        <v>126</v>
      </c>
      <c r="AR203">
        <f t="shared" si="44"/>
        <v>1360.82</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127.6</v>
      </c>
      <c r="H204" s="256">
        <v>0.499</v>
      </c>
      <c r="I204" s="673">
        <v>128.22</v>
      </c>
      <c r="J204" s="700">
        <v>0.57899999999999996</v>
      </c>
      <c r="K204" s="496">
        <v>0</v>
      </c>
      <c r="L204" s="404"/>
      <c r="M204" s="707">
        <v>0.71</v>
      </c>
      <c r="AB204"/>
      <c r="AC204"/>
      <c r="AD204"/>
      <c r="AE204"/>
      <c r="AF204"/>
      <c r="AG204"/>
      <c r="AH204"/>
      <c r="AI204"/>
      <c r="AJ204"/>
      <c r="AK204"/>
      <c r="AL204"/>
      <c r="AM204"/>
      <c r="AN204"/>
      <c r="AO204"/>
      <c r="AP204" s="270"/>
      <c r="AQ204" s="281">
        <f t="shared" si="39"/>
        <v>127</v>
      </c>
      <c r="AR204">
        <f t="shared" si="44"/>
        <v>1371.1</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279.39</v>
      </c>
      <c r="H205" s="256">
        <v>0.16</v>
      </c>
      <c r="I205" s="327">
        <v>281.51</v>
      </c>
      <c r="J205" s="700">
        <v>0.34699999999999998</v>
      </c>
      <c r="K205" s="496">
        <v>0</v>
      </c>
      <c r="L205" s="402"/>
      <c r="M205" s="707">
        <v>0.377</v>
      </c>
      <c r="AB205"/>
      <c r="AC205"/>
      <c r="AD205"/>
      <c r="AE205"/>
      <c r="AF205"/>
      <c r="AG205"/>
      <c r="AH205"/>
      <c r="AI205"/>
      <c r="AJ205"/>
      <c r="AK205"/>
      <c r="AL205"/>
      <c r="AM205"/>
      <c r="AN205"/>
      <c r="AO205"/>
      <c r="AP205" s="270"/>
      <c r="AQ205" s="281">
        <f t="shared" si="39"/>
        <v>128</v>
      </c>
      <c r="AR205">
        <f t="shared" si="44"/>
        <v>1337.47</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97.58</v>
      </c>
      <c r="H206" s="256">
        <v>1.9019999999999999</v>
      </c>
      <c r="I206" s="673">
        <v>97.88</v>
      </c>
      <c r="J206" s="701">
        <v>2.0859999999999999</v>
      </c>
      <c r="K206" s="496">
        <v>0</v>
      </c>
      <c r="L206" s="402"/>
      <c r="M206" s="708">
        <v>2.7770000000000001</v>
      </c>
      <c r="AB206"/>
      <c r="AC206"/>
      <c r="AD206"/>
      <c r="AE206"/>
      <c r="AF206"/>
      <c r="AG206"/>
      <c r="AH206"/>
      <c r="AI206"/>
      <c r="AJ206"/>
      <c r="AK206"/>
      <c r="AL206"/>
      <c r="AM206"/>
      <c r="AN206"/>
      <c r="AO206"/>
      <c r="AP206" s="270"/>
      <c r="AQ206" s="281">
        <f t="shared" si="39"/>
        <v>129</v>
      </c>
      <c r="AR206">
        <f t="shared" si="44"/>
        <v>1334.23</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189.49</v>
      </c>
      <c r="H207" s="256">
        <v>7.4999999999999997E-2</v>
      </c>
      <c r="I207" s="673">
        <v>188.12</v>
      </c>
      <c r="J207" s="701">
        <v>2.9000000000000001E-2</v>
      </c>
      <c r="K207" s="496">
        <v>0</v>
      </c>
      <c r="L207" s="404"/>
      <c r="M207" s="714" t="s">
        <v>38</v>
      </c>
      <c r="AB207"/>
      <c r="AC207"/>
      <c r="AD207"/>
      <c r="AE207"/>
      <c r="AF207"/>
      <c r="AG207"/>
      <c r="AH207"/>
      <c r="AI207"/>
      <c r="AJ207"/>
      <c r="AK207"/>
      <c r="AL207"/>
      <c r="AM207"/>
      <c r="AN207"/>
      <c r="AO207"/>
      <c r="AP207" s="270"/>
      <c r="AQ207" s="281">
        <f t="shared" ref="AQ207:AQ278" si="45">AQ206+1</f>
        <v>130</v>
      </c>
      <c r="AR207">
        <f t="shared" si="44"/>
        <v>1324.3</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169.79</v>
      </c>
      <c r="H208" s="296">
        <v>6.3E-2</v>
      </c>
      <c r="I208" s="673">
        <v>170.64</v>
      </c>
      <c r="J208" s="701">
        <v>8.4000000000000005E-2</v>
      </c>
      <c r="K208" s="496">
        <v>0</v>
      </c>
      <c r="L208" s="404"/>
      <c r="M208" s="708">
        <v>3.5000000000000003E-2</v>
      </c>
      <c r="AB208"/>
      <c r="AC208"/>
      <c r="AD208"/>
      <c r="AE208"/>
      <c r="AF208"/>
      <c r="AG208"/>
      <c r="AH208"/>
      <c r="AI208"/>
      <c r="AJ208"/>
      <c r="AK208"/>
      <c r="AL208"/>
      <c r="AM208"/>
      <c r="AN208"/>
      <c r="AO208"/>
      <c r="AP208" s="270"/>
      <c r="AQ208" s="281">
        <f t="shared" si="45"/>
        <v>131</v>
      </c>
      <c r="AR208">
        <f t="shared" si="44"/>
        <v>1323.02</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139.34</v>
      </c>
      <c r="H209" s="256">
        <v>6.4870000000000001</v>
      </c>
      <c r="I209" s="327">
        <v>139.34</v>
      </c>
      <c r="J209" s="703">
        <v>6.4870000000000001</v>
      </c>
      <c r="K209" s="496">
        <v>0</v>
      </c>
      <c r="L209" s="478"/>
      <c r="M209" s="710">
        <v>9.3949999999999996</v>
      </c>
      <c r="AB209"/>
      <c r="AC209"/>
      <c r="AD209"/>
      <c r="AE209"/>
      <c r="AF209"/>
      <c r="AG209"/>
      <c r="AH209"/>
      <c r="AI209"/>
      <c r="AJ209"/>
      <c r="AK209"/>
      <c r="AL209"/>
      <c r="AM209"/>
      <c r="AN209"/>
      <c r="AO209"/>
      <c r="AP209" s="270"/>
      <c r="AQ209" s="281">
        <f t="shared" si="45"/>
        <v>132</v>
      </c>
      <c r="AR209">
        <f t="shared" si="44"/>
        <v>1306.55</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237.78</v>
      </c>
      <c r="H210" s="296">
        <v>1.746</v>
      </c>
      <c r="I210" s="327">
        <v>238.75</v>
      </c>
      <c r="J210" s="703">
        <v>2.27</v>
      </c>
      <c r="K210" s="496">
        <v>0</v>
      </c>
      <c r="L210" s="462"/>
      <c r="M210" s="710">
        <v>2.6309999999999998</v>
      </c>
      <c r="AB210"/>
      <c r="AC210"/>
      <c r="AD210"/>
      <c r="AE210"/>
      <c r="AF210"/>
      <c r="AG210"/>
      <c r="AH210"/>
      <c r="AI210"/>
      <c r="AJ210"/>
      <c r="AK210"/>
      <c r="AL210"/>
      <c r="AM210"/>
      <c r="AN210"/>
      <c r="AO210"/>
      <c r="AP210" s="270"/>
      <c r="AQ210" s="281">
        <f t="shared" si="45"/>
        <v>133</v>
      </c>
      <c r="AR210">
        <f t="shared" si="44"/>
        <v>1297.3599999999999</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118.34</v>
      </c>
      <c r="H211" s="256">
        <v>2.1789999999999998</v>
      </c>
      <c r="I211" s="327">
        <v>118.33</v>
      </c>
      <c r="J211" s="700">
        <v>2.1629999999999998</v>
      </c>
      <c r="K211" s="496">
        <v>0</v>
      </c>
      <c r="L211" s="462"/>
      <c r="M211" s="707">
        <v>3.0470000000000002</v>
      </c>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109.74</v>
      </c>
      <c r="H212" s="256">
        <v>1.4930000000000001</v>
      </c>
      <c r="I212" s="327">
        <v>110.09</v>
      </c>
      <c r="J212" s="700">
        <v>1.8580000000000001</v>
      </c>
      <c r="K212" s="496">
        <v>0</v>
      </c>
      <c r="L212" s="462"/>
      <c r="M212" s="715">
        <v>2.617</v>
      </c>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62.35</v>
      </c>
      <c r="H213" s="296">
        <v>16.670000000000002</v>
      </c>
      <c r="I213" s="327">
        <v>59.8</v>
      </c>
      <c r="J213" s="703">
        <v>12.9</v>
      </c>
      <c r="K213" s="496">
        <v>0</v>
      </c>
      <c r="L213" s="476"/>
      <c r="M213" s="710">
        <v>29.93</v>
      </c>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163.02000000000001</v>
      </c>
      <c r="H214" s="296">
        <v>183.93</v>
      </c>
      <c r="I214" s="675">
        <v>160.31</v>
      </c>
      <c r="J214" s="712">
        <v>162.24</v>
      </c>
      <c r="K214" s="496">
        <v>0</v>
      </c>
      <c r="L214" s="311"/>
      <c r="M214" s="716">
        <v>228.96</v>
      </c>
      <c r="AB214"/>
      <c r="AC214"/>
      <c r="AD214"/>
      <c r="AE214"/>
      <c r="AF214"/>
      <c r="AG214"/>
      <c r="AH214"/>
      <c r="AI214"/>
      <c r="AJ214"/>
      <c r="AK214"/>
      <c r="AL214"/>
      <c r="AM214"/>
      <c r="AN214"/>
      <c r="AO214"/>
      <c r="AP214" s="270"/>
      <c r="AQ214" s="281">
        <f>AQ210+1</f>
        <v>134</v>
      </c>
      <c r="AR214">
        <f t="shared" ref="AR214:AR221" si="47">IF(AG19="tad","tad",AG19)</f>
        <v>1291.6500000000001</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229.66</v>
      </c>
      <c r="H215" s="296">
        <v>8.6639999999999997</v>
      </c>
      <c r="I215" s="327">
        <v>229.69</v>
      </c>
      <c r="J215" s="703">
        <v>8.8209999999999997</v>
      </c>
      <c r="K215" s="496">
        <v>0</v>
      </c>
      <c r="L215" s="311"/>
      <c r="M215" s="710">
        <v>9.2469999999999999</v>
      </c>
      <c r="AB215"/>
      <c r="AC215"/>
      <c r="AD215"/>
      <c r="AE215"/>
      <c r="AF215"/>
      <c r="AG215"/>
      <c r="AH215"/>
      <c r="AI215"/>
      <c r="AJ215"/>
      <c r="AK215"/>
      <c r="AL215"/>
      <c r="AM215"/>
      <c r="AN215"/>
      <c r="AO215"/>
      <c r="AP215" s="270"/>
      <c r="AQ215" s="281">
        <f t="shared" si="45"/>
        <v>135</v>
      </c>
      <c r="AR215">
        <f t="shared" si="47"/>
        <v>1277.94</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149.25</v>
      </c>
      <c r="H216" s="331">
        <v>15.36</v>
      </c>
      <c r="I216" s="314">
        <v>148.79</v>
      </c>
      <c r="J216" s="705">
        <v>14.97</v>
      </c>
      <c r="K216" s="496">
        <v>0</v>
      </c>
      <c r="L216" s="311"/>
      <c r="M216" s="705">
        <v>15.27</v>
      </c>
      <c r="AB216"/>
      <c r="AC216"/>
      <c r="AD216"/>
      <c r="AE216"/>
      <c r="AF216"/>
      <c r="AG216"/>
      <c r="AH216"/>
      <c r="AI216"/>
      <c r="AJ216"/>
      <c r="AK216"/>
      <c r="AL216"/>
      <c r="AM216"/>
      <c r="AN216"/>
      <c r="AO216"/>
      <c r="AP216" s="270"/>
      <c r="AQ216" s="281">
        <f t="shared" si="45"/>
        <v>136</v>
      </c>
      <c r="AR216">
        <f t="shared" si="47"/>
        <v>1266.8900000000001</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38.46</v>
      </c>
      <c r="J217" s="703">
        <v>0.41399999999999998</v>
      </c>
      <c r="K217" s="496">
        <v>0</v>
      </c>
      <c r="L217" s="311"/>
      <c r="M217" s="710">
        <v>0.48099999999999998</v>
      </c>
      <c r="AB217"/>
      <c r="AC217"/>
      <c r="AD217"/>
      <c r="AE217"/>
      <c r="AF217"/>
      <c r="AG217"/>
      <c r="AH217"/>
      <c r="AI217"/>
      <c r="AJ217"/>
      <c r="AK217"/>
      <c r="AL217"/>
      <c r="AM217"/>
      <c r="AN217"/>
      <c r="AO217"/>
      <c r="AP217" s="270"/>
      <c r="AQ217" s="281">
        <f t="shared" si="45"/>
        <v>137</v>
      </c>
      <c r="AR217">
        <f t="shared" si="47"/>
        <v>1255.32</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69.790000000000006</v>
      </c>
      <c r="J218" s="703">
        <v>0.68700000000000006</v>
      </c>
      <c r="K218" s="496">
        <v>0</v>
      </c>
      <c r="L218" s="311"/>
      <c r="M218" s="710">
        <v>0.76400000000000001</v>
      </c>
      <c r="AB218"/>
      <c r="AC218"/>
      <c r="AD218"/>
      <c r="AE218"/>
      <c r="AF218"/>
      <c r="AG218"/>
      <c r="AH218"/>
      <c r="AI218"/>
      <c r="AJ218"/>
      <c r="AK218"/>
      <c r="AL218"/>
      <c r="AM218"/>
      <c r="AN218"/>
      <c r="AO218"/>
      <c r="AP218" s="270"/>
      <c r="AQ218" s="281">
        <f t="shared" si="45"/>
        <v>138</v>
      </c>
      <c r="AR218">
        <f t="shared" si="47"/>
        <v>1241.27</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997.3660000000001</v>
      </c>
      <c r="I219" s="678"/>
      <c r="J219" s="679">
        <f>SUM(J174:J218)</f>
        <v>932.41499999999985</v>
      </c>
      <c r="K219" s="497">
        <f>SUM(K174:K218)</f>
        <v>0</v>
      </c>
      <c r="L219" s="311"/>
      <c r="M219" s="187"/>
      <c r="AB219"/>
      <c r="AC219"/>
      <c r="AD219"/>
      <c r="AE219"/>
      <c r="AF219"/>
      <c r="AG219"/>
      <c r="AH219"/>
      <c r="AI219"/>
      <c r="AJ219"/>
      <c r="AK219"/>
      <c r="AL219"/>
      <c r="AM219"/>
      <c r="AN219"/>
      <c r="AO219"/>
      <c r="AP219" s="270"/>
      <c r="AQ219" s="281">
        <f t="shared" si="45"/>
        <v>139</v>
      </c>
      <c r="AR219">
        <f t="shared" si="47"/>
        <v>1230.77</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0.93487746724873289</v>
      </c>
      <c r="K220" s="498">
        <f>IFERROR(+K219/I219,0)</f>
        <v>0</v>
      </c>
      <c r="L220" s="311"/>
      <c r="M220" s="396"/>
      <c r="AB220"/>
      <c r="AC220"/>
      <c r="AD220"/>
      <c r="AE220"/>
      <c r="AF220"/>
      <c r="AG220"/>
      <c r="AH220"/>
      <c r="AI220"/>
      <c r="AJ220"/>
      <c r="AK220"/>
      <c r="AL220"/>
      <c r="AM220"/>
      <c r="AN220"/>
      <c r="AO220"/>
      <c r="AP220" s="270"/>
      <c r="AQ220" s="281">
        <f t="shared" si="45"/>
        <v>140</v>
      </c>
      <c r="AR220">
        <f t="shared" si="47"/>
        <v>1222.45</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0.54774339005705142</v>
      </c>
      <c r="I221" s="680"/>
      <c r="J221" s="682">
        <f>+J219/F219</f>
        <v>0.512072953198771</v>
      </c>
      <c r="K221" s="499"/>
      <c r="L221" s="311"/>
      <c r="M221" s="397"/>
      <c r="AB221"/>
      <c r="AC221"/>
      <c r="AD221"/>
      <c r="AE221"/>
      <c r="AF221"/>
      <c r="AG221"/>
      <c r="AH221"/>
      <c r="AI221"/>
      <c r="AJ221"/>
      <c r="AK221"/>
      <c r="AL221"/>
      <c r="AM221"/>
      <c r="AN221"/>
      <c r="AO221"/>
      <c r="AP221" s="270"/>
      <c r="AQ221" s="281">
        <f t="shared" si="45"/>
        <v>141</v>
      </c>
      <c r="AR221">
        <f t="shared" si="47"/>
        <v>1211.97</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1319.69</v>
      </c>
      <c r="AS222">
        <f t="shared" si="46"/>
        <v>0</v>
      </c>
      <c r="AT222"/>
      <c r="AU222"/>
      <c r="AV222"/>
      <c r="AW222"/>
      <c r="AX222"/>
      <c r="AY222"/>
      <c r="AZ222"/>
      <c r="BA222"/>
      <c r="BB222"/>
      <c r="BC222"/>
      <c r="BD222"/>
      <c r="BE222"/>
    </row>
    <row r="223" spans="2:57" ht="27" customHeight="1" thickBot="1" x14ac:dyDescent="0.35">
      <c r="B223" s="290"/>
      <c r="C223" s="259"/>
      <c r="D223" s="259"/>
      <c r="E223" s="259"/>
      <c r="F223" s="507">
        <v>20</v>
      </c>
      <c r="G223" s="555" t="s">
        <v>6</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1319.69</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174.72</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1174.3</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1179.25</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1177.05</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54.5</v>
      </c>
      <c r="H228" s="255">
        <v>24.076000000000001</v>
      </c>
      <c r="I228" s="654">
        <v>53.63</v>
      </c>
      <c r="J228" s="654">
        <v>19.754000000000001</v>
      </c>
      <c r="K228" s="496"/>
      <c r="L228" s="484"/>
      <c r="M228" s="396"/>
      <c r="AB228"/>
      <c r="AC228"/>
      <c r="AD228"/>
      <c r="AE228"/>
      <c r="AF228"/>
      <c r="AG228"/>
      <c r="AH228"/>
      <c r="AI228"/>
      <c r="AJ228"/>
      <c r="AK228"/>
      <c r="AL228"/>
      <c r="AM228"/>
      <c r="AN228"/>
      <c r="AO228"/>
      <c r="AP228" s="270"/>
      <c r="AQ228" s="281">
        <f t="shared" si="45"/>
        <v>148</v>
      </c>
      <c r="AR228">
        <f t="shared" si="48"/>
        <v>1171.49</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339.5</v>
      </c>
      <c r="J229" s="697">
        <v>7.77</v>
      </c>
      <c r="K229" s="496"/>
      <c r="L229" s="485"/>
      <c r="M229" s="396"/>
      <c r="AB229"/>
      <c r="AC229"/>
      <c r="AD229"/>
      <c r="AE229"/>
      <c r="AF229"/>
      <c r="AG229"/>
      <c r="AH229"/>
      <c r="AI229"/>
      <c r="AJ229"/>
      <c r="AK229"/>
      <c r="AL229"/>
      <c r="AM229"/>
      <c r="AN229"/>
      <c r="AO229"/>
      <c r="AP229" s="270"/>
      <c r="AQ229" s="281">
        <f t="shared" si="45"/>
        <v>149</v>
      </c>
      <c r="AR229">
        <f t="shared" si="48"/>
        <v>1158.29</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73.23</v>
      </c>
      <c r="H230" s="296">
        <v>25.376999999999999</v>
      </c>
      <c r="I230" s="327">
        <v>75.400000000000006</v>
      </c>
      <c r="J230" s="697">
        <v>36.414999999999999</v>
      </c>
      <c r="K230" s="496"/>
      <c r="L230" s="484"/>
      <c r="M230" s="396"/>
      <c r="AB230"/>
      <c r="AC230"/>
      <c r="AD230"/>
      <c r="AE230"/>
      <c r="AF230"/>
      <c r="AG230"/>
      <c r="AH230"/>
      <c r="AI230"/>
      <c r="AJ230"/>
      <c r="AK230"/>
      <c r="AL230"/>
      <c r="AM230"/>
      <c r="AN230"/>
      <c r="AO230"/>
      <c r="AP230" s="270"/>
      <c r="AQ230" s="281">
        <f t="shared" si="45"/>
        <v>150</v>
      </c>
      <c r="AR230">
        <f t="shared" si="48"/>
        <v>1149.79</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461.3</v>
      </c>
      <c r="H231" s="327">
        <v>19.064</v>
      </c>
      <c r="I231" s="313">
        <v>461.11</v>
      </c>
      <c r="J231" s="697">
        <v>16.826000000000001</v>
      </c>
      <c r="K231" s="496"/>
      <c r="L231" s="484"/>
      <c r="M231" s="396"/>
      <c r="AB231"/>
      <c r="AC231"/>
      <c r="AD231"/>
      <c r="AE231"/>
      <c r="AF231"/>
      <c r="AG231"/>
      <c r="AH231"/>
      <c r="AI231"/>
      <c r="AJ231"/>
      <c r="AK231"/>
      <c r="AL231"/>
      <c r="AM231"/>
      <c r="AN231"/>
      <c r="AO231"/>
      <c r="AP231" s="270"/>
      <c r="AQ231" s="281">
        <f t="shared" si="45"/>
        <v>151</v>
      </c>
      <c r="AR231">
        <f t="shared" si="48"/>
        <v>1135.8800000000001</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206.17</v>
      </c>
      <c r="H232" s="257">
        <v>8.5139999999999993</v>
      </c>
      <c r="I232" s="671">
        <v>207.01</v>
      </c>
      <c r="J232" s="697">
        <v>8.6530000000000005</v>
      </c>
      <c r="K232" s="496"/>
      <c r="L232" s="484"/>
      <c r="M232" s="396"/>
      <c r="AB232"/>
      <c r="AC232"/>
      <c r="AD232"/>
      <c r="AE232"/>
      <c r="AF232"/>
      <c r="AG232"/>
      <c r="AH232"/>
      <c r="AI232"/>
      <c r="AJ232"/>
      <c r="AK232"/>
      <c r="AL232"/>
      <c r="AM232"/>
      <c r="AN232"/>
      <c r="AO232"/>
      <c r="AP232" s="270"/>
      <c r="AQ232" s="281">
        <f t="shared" si="45"/>
        <v>152</v>
      </c>
      <c r="AR232">
        <f t="shared" si="48"/>
        <v>1128.6600000000001</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316.10000000000002</v>
      </c>
      <c r="H233" s="257">
        <v>3.4119999999999999</v>
      </c>
      <c r="I233" s="671">
        <v>316.42</v>
      </c>
      <c r="J233" s="697">
        <v>3.5019999999999998</v>
      </c>
      <c r="K233" s="496"/>
      <c r="L233" s="484"/>
      <c r="M233" s="396"/>
      <c r="AB233"/>
      <c r="AC233"/>
      <c r="AD233"/>
      <c r="AE233"/>
      <c r="AF233"/>
      <c r="AG233"/>
      <c r="AH233"/>
      <c r="AI233"/>
      <c r="AJ233"/>
      <c r="AK233"/>
      <c r="AL233"/>
      <c r="AM233"/>
      <c r="AN233"/>
      <c r="AO233"/>
      <c r="AP233" s="270"/>
      <c r="AQ233" s="281">
        <f t="shared" si="45"/>
        <v>153</v>
      </c>
      <c r="AR233">
        <f>IF(AH7="tad","tad",AH7)</f>
        <v>1116.18</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81.12</v>
      </c>
      <c r="H234" s="256">
        <v>330.346</v>
      </c>
      <c r="I234" s="671">
        <v>82.06</v>
      </c>
      <c r="J234" s="697">
        <v>359.70519999999999</v>
      </c>
      <c r="K234" s="496"/>
      <c r="L234" s="484"/>
      <c r="M234" s="396"/>
      <c r="AB234"/>
      <c r="AC234"/>
      <c r="AD234"/>
      <c r="AE234"/>
      <c r="AF234"/>
      <c r="AG234"/>
      <c r="AH234"/>
      <c r="AI234"/>
      <c r="AJ234"/>
      <c r="AK234"/>
      <c r="AL234"/>
      <c r="AM234"/>
      <c r="AN234"/>
      <c r="AO234"/>
      <c r="AP234" s="270"/>
      <c r="AQ234" s="281">
        <f t="shared" si="45"/>
        <v>154</v>
      </c>
      <c r="AR234">
        <f>IF(AH8="tad","tad",AH8)</f>
        <v>1106.44</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86.34</v>
      </c>
      <c r="H235" s="817">
        <v>16.852</v>
      </c>
      <c r="I235" s="817">
        <v>88.01</v>
      </c>
      <c r="J235" s="817">
        <v>18.827999999999999</v>
      </c>
      <c r="K235" s="813"/>
      <c r="M235" s="402"/>
      <c r="AB235"/>
      <c r="AC235"/>
      <c r="AD235"/>
      <c r="AE235"/>
      <c r="AF235"/>
      <c r="AG235"/>
      <c r="AH235"/>
      <c r="AI235"/>
      <c r="AJ235"/>
      <c r="AK235"/>
      <c r="AL235"/>
      <c r="AM235"/>
      <c r="AN235"/>
      <c r="AO235"/>
      <c r="AP235" s="270"/>
      <c r="AQ235" s="281">
        <f t="shared" si="45"/>
        <v>155</v>
      </c>
      <c r="AR235">
        <f>IF(AH9="tad","tad",AH9)</f>
        <v>1099.2</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115.82</v>
      </c>
      <c r="H237" s="296">
        <v>0.29799999999999999</v>
      </c>
      <c r="I237" s="329">
        <v>116.01</v>
      </c>
      <c r="J237" s="697">
        <v>0.33</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117.38</v>
      </c>
      <c r="H238" s="296">
        <v>0.59299999999999997</v>
      </c>
      <c r="I238" s="671">
        <v>117.64</v>
      </c>
      <c r="J238" s="697">
        <v>0.61199999999999999</v>
      </c>
      <c r="K238" s="496"/>
      <c r="L238" s="484"/>
      <c r="M238" s="402"/>
      <c r="AB238"/>
      <c r="AC238"/>
      <c r="AD238"/>
      <c r="AE238"/>
      <c r="AF238"/>
      <c r="AG238"/>
      <c r="AH238"/>
      <c r="AI238"/>
      <c r="AJ238"/>
      <c r="AK238"/>
      <c r="AL238"/>
      <c r="AM238"/>
      <c r="AN238"/>
      <c r="AO238"/>
      <c r="AP238" s="270"/>
      <c r="AQ238" s="281">
        <f>AQ235+1</f>
        <v>156</v>
      </c>
      <c r="AR238">
        <f t="shared" ref="AR238:AR254" si="51">IF(AH10="tad","tad",AH10)</f>
        <v>1088.48</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44.17</v>
      </c>
      <c r="H239" s="256">
        <v>4.2270000000000003</v>
      </c>
      <c r="I239" s="671">
        <v>44.36</v>
      </c>
      <c r="J239" s="697">
        <v>4.2830000000000004</v>
      </c>
      <c r="K239" s="496"/>
      <c r="L239" s="486"/>
      <c r="M239" s="402"/>
      <c r="AB239"/>
      <c r="AC239"/>
      <c r="AD239"/>
      <c r="AE239"/>
      <c r="AF239"/>
      <c r="AG239"/>
      <c r="AH239"/>
      <c r="AI239"/>
      <c r="AJ239"/>
      <c r="AK239"/>
      <c r="AL239"/>
      <c r="AM239"/>
      <c r="AN239"/>
      <c r="AO239"/>
      <c r="AP239" s="270"/>
      <c r="AQ239" s="281">
        <f t="shared" si="45"/>
        <v>157</v>
      </c>
      <c r="AR239">
        <f t="shared" si="51"/>
        <v>1078.69</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43.93</v>
      </c>
      <c r="H240" s="256">
        <v>2.0150000000000001</v>
      </c>
      <c r="I240" s="672">
        <v>50.58</v>
      </c>
      <c r="J240" s="697">
        <v>2.157</v>
      </c>
      <c r="K240" s="496"/>
      <c r="L240" s="486"/>
      <c r="M240" s="403"/>
      <c r="AB240"/>
      <c r="AC240"/>
      <c r="AD240"/>
      <c r="AE240"/>
      <c r="AF240"/>
      <c r="AG240"/>
      <c r="AH240"/>
      <c r="AI240"/>
      <c r="AJ240"/>
      <c r="AK240"/>
      <c r="AL240"/>
      <c r="AM240"/>
      <c r="AN240"/>
      <c r="AO240"/>
      <c r="AP240" s="270"/>
      <c r="AQ240" s="281">
        <f t="shared" si="45"/>
        <v>158</v>
      </c>
      <c r="AR240">
        <f t="shared" si="51"/>
        <v>1066.08</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74.2</v>
      </c>
      <c r="H241" s="609">
        <v>0.38100000000000001</v>
      </c>
      <c r="I241" s="671">
        <v>74.5</v>
      </c>
      <c r="J241" s="697">
        <v>0.42699999999999999</v>
      </c>
      <c r="K241" s="496"/>
      <c r="L241" s="486"/>
      <c r="M241" s="402"/>
      <c r="AB241"/>
      <c r="AC241"/>
      <c r="AD241"/>
      <c r="AE241"/>
      <c r="AF241"/>
      <c r="AG241"/>
      <c r="AH241"/>
      <c r="AI241"/>
      <c r="AJ241"/>
      <c r="AK241"/>
      <c r="AL241"/>
      <c r="AM241"/>
      <c r="AN241"/>
      <c r="AO241"/>
      <c r="AP241" s="270"/>
      <c r="AQ241" s="281">
        <f t="shared" si="45"/>
        <v>159</v>
      </c>
      <c r="AR241">
        <f t="shared" si="51"/>
        <v>1054.7</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80.11</v>
      </c>
      <c r="H242" s="296">
        <v>8.0000000000000002E-3</v>
      </c>
      <c r="I242" s="671">
        <v>80.239999999999995</v>
      </c>
      <c r="J242" s="697">
        <v>1.0999999999999999E-2</v>
      </c>
      <c r="K242" s="496"/>
      <c r="L242" s="486"/>
      <c r="M242" s="402"/>
      <c r="AB242"/>
      <c r="AC242"/>
      <c r="AD242"/>
      <c r="AE242"/>
      <c r="AF242"/>
      <c r="AG242"/>
      <c r="AH242"/>
      <c r="AI242"/>
      <c r="AJ242"/>
      <c r="AK242"/>
      <c r="AL242"/>
      <c r="AM242"/>
      <c r="AN242"/>
      <c r="AO242"/>
      <c r="AP242" s="270"/>
      <c r="AQ242" s="281">
        <f t="shared" si="45"/>
        <v>160</v>
      </c>
      <c r="AR242">
        <f t="shared" si="51"/>
        <v>1049.68</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61.7</v>
      </c>
      <c r="H243" s="256">
        <v>5.1999999999999998E-2</v>
      </c>
      <c r="I243" s="671">
        <v>62.06</v>
      </c>
      <c r="J243" s="697">
        <v>6.7000000000000004E-2</v>
      </c>
      <c r="K243" s="496"/>
      <c r="L243" s="486"/>
      <c r="M243" s="403"/>
      <c r="AB243"/>
      <c r="AC243"/>
      <c r="AD243"/>
      <c r="AE243"/>
      <c r="AF243"/>
      <c r="AG243"/>
      <c r="AH243"/>
      <c r="AI243"/>
      <c r="AJ243"/>
      <c r="AK243"/>
      <c r="AL243"/>
      <c r="AM243"/>
      <c r="AN243"/>
      <c r="AO243"/>
      <c r="AP243" s="270"/>
      <c r="AQ243" s="281">
        <f t="shared" si="45"/>
        <v>161</v>
      </c>
      <c r="AR243">
        <f t="shared" si="51"/>
        <v>1033.54</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45.06</v>
      </c>
      <c r="H244" s="296">
        <v>0.13700000000000001</v>
      </c>
      <c r="I244" s="671">
        <v>45.31</v>
      </c>
      <c r="J244" s="697">
        <v>0.161</v>
      </c>
      <c r="K244" s="496"/>
      <c r="L244" s="487"/>
      <c r="M244" s="403"/>
      <c r="AB244"/>
      <c r="AC244"/>
      <c r="AD244"/>
      <c r="AE244"/>
      <c r="AF244"/>
      <c r="AG244"/>
      <c r="AH244"/>
      <c r="AI244"/>
      <c r="AJ244"/>
      <c r="AK244"/>
      <c r="AL244"/>
      <c r="AM244"/>
      <c r="AN244"/>
      <c r="AO244"/>
      <c r="AP244" s="270"/>
      <c r="AQ244" s="281">
        <f t="shared" si="45"/>
        <v>162</v>
      </c>
      <c r="AR244">
        <f t="shared" si="51"/>
        <v>1023.31</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134.4</v>
      </c>
      <c r="H245" s="256">
        <v>281.11</v>
      </c>
      <c r="I245" s="327">
        <v>132.80000000000001</v>
      </c>
      <c r="J245" s="700">
        <v>207.554</v>
      </c>
      <c r="K245" s="496"/>
      <c r="L245" s="486"/>
      <c r="M245" s="403"/>
      <c r="AB245"/>
      <c r="AC245"/>
      <c r="AD245"/>
      <c r="AE245"/>
      <c r="AF245"/>
      <c r="AG245"/>
      <c r="AH245"/>
      <c r="AI245"/>
      <c r="AJ245"/>
      <c r="AK245"/>
      <c r="AL245"/>
      <c r="AM245"/>
      <c r="AN245"/>
      <c r="AO245"/>
      <c r="AP245" s="270"/>
      <c r="AQ245" s="281">
        <f t="shared" si="45"/>
        <v>163</v>
      </c>
      <c r="AR245">
        <f t="shared" si="51"/>
        <v>1008.53</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183.22</v>
      </c>
      <c r="H246" s="256">
        <v>21.606999999999999</v>
      </c>
      <c r="I246" s="327">
        <v>183.73</v>
      </c>
      <c r="J246" s="700">
        <v>22.597000000000001</v>
      </c>
      <c r="K246" s="496" t="s">
        <v>187</v>
      </c>
      <c r="L246" s="486"/>
      <c r="M246" s="402"/>
      <c r="AB246"/>
      <c r="AC246"/>
      <c r="AD246"/>
      <c r="AE246"/>
      <c r="AF246"/>
      <c r="AG246"/>
      <c r="AH246"/>
      <c r="AI246"/>
      <c r="AJ246"/>
      <c r="AK246"/>
      <c r="AL246"/>
      <c r="AM246"/>
      <c r="AN246"/>
      <c r="AO246"/>
      <c r="AP246" s="270"/>
      <c r="AQ246" s="281">
        <f t="shared" si="45"/>
        <v>164</v>
      </c>
      <c r="AR246">
        <f t="shared" si="51"/>
        <v>1001.7</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108.45</v>
      </c>
      <c r="H247" s="256">
        <v>0.54100000000000004</v>
      </c>
      <c r="I247" s="327">
        <v>110.59</v>
      </c>
      <c r="J247" s="700">
        <v>1.161</v>
      </c>
      <c r="K247" s="496" t="s">
        <v>187</v>
      </c>
      <c r="L247" s="487"/>
      <c r="M247" s="403"/>
      <c r="AB247"/>
      <c r="AC247"/>
      <c r="AD247"/>
      <c r="AE247"/>
      <c r="AF247"/>
      <c r="AG247"/>
      <c r="AH247"/>
      <c r="AI247"/>
      <c r="AJ247"/>
      <c r="AK247"/>
      <c r="AL247"/>
      <c r="AM247"/>
      <c r="AN247"/>
      <c r="AO247"/>
      <c r="AP247" s="270"/>
      <c r="AQ247" s="281">
        <f t="shared" si="45"/>
        <v>165</v>
      </c>
      <c r="AR247">
        <f t="shared" si="51"/>
        <v>994.47</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201.26</v>
      </c>
      <c r="H248" s="256">
        <v>8.7999999999999995E-2</v>
      </c>
      <c r="I248" s="673">
        <v>200.09</v>
      </c>
      <c r="J248" s="700">
        <v>3.2000000000000001E-2</v>
      </c>
      <c r="K248" s="496"/>
      <c r="L248" s="487"/>
      <c r="M248" s="402"/>
      <c r="AB248"/>
      <c r="AC248"/>
      <c r="AD248"/>
      <c r="AE248"/>
      <c r="AF248"/>
      <c r="AG248"/>
      <c r="AH248"/>
      <c r="AI248"/>
      <c r="AJ248"/>
      <c r="AK248"/>
      <c r="AL248"/>
      <c r="AM248"/>
      <c r="AN248"/>
      <c r="AO248"/>
      <c r="AP248" s="270"/>
      <c r="AQ248" s="281">
        <f t="shared" si="45"/>
        <v>166</v>
      </c>
      <c r="AR248">
        <f t="shared" si="51"/>
        <v>986.79</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220.03</v>
      </c>
      <c r="H249" s="256">
        <v>0.153</v>
      </c>
      <c r="I249" s="327">
        <v>219.08</v>
      </c>
      <c r="J249" s="700">
        <v>0.107</v>
      </c>
      <c r="K249" s="496"/>
      <c r="L249" s="487"/>
      <c r="M249" s="402"/>
      <c r="AB249"/>
      <c r="AC249"/>
      <c r="AD249"/>
      <c r="AE249"/>
      <c r="AF249"/>
      <c r="AG249"/>
      <c r="AH249"/>
      <c r="AI249"/>
      <c r="AJ249"/>
      <c r="AK249"/>
      <c r="AL249"/>
      <c r="AM249"/>
      <c r="AN249"/>
      <c r="AO249"/>
      <c r="AP249" s="270"/>
      <c r="AQ249" s="281">
        <f t="shared" si="45"/>
        <v>167</v>
      </c>
      <c r="AR249">
        <f t="shared" si="51"/>
        <v>978.66</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192.8</v>
      </c>
      <c r="H250" s="256">
        <v>0.251</v>
      </c>
      <c r="I250" s="673">
        <v>192.49</v>
      </c>
      <c r="J250" s="701">
        <v>0.21299999999999999</v>
      </c>
      <c r="K250" s="496"/>
      <c r="L250" s="486"/>
      <c r="M250" s="403"/>
      <c r="AB250"/>
      <c r="AC250"/>
      <c r="AD250"/>
      <c r="AE250"/>
      <c r="AF250"/>
      <c r="AG250"/>
      <c r="AH250"/>
      <c r="AI250"/>
      <c r="AJ250"/>
      <c r="AK250"/>
      <c r="AL250"/>
      <c r="AM250"/>
      <c r="AN250"/>
      <c r="AO250"/>
      <c r="AP250" s="270"/>
      <c r="AQ250" s="281">
        <f t="shared" si="45"/>
        <v>168</v>
      </c>
      <c r="AR250">
        <f t="shared" si="51"/>
        <v>971.63</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162.19</v>
      </c>
      <c r="H251" s="256">
        <v>0.02</v>
      </c>
      <c r="I251" s="673">
        <v>164.82</v>
      </c>
      <c r="J251" s="700">
        <v>0.21299999999999999</v>
      </c>
      <c r="K251" s="496"/>
      <c r="L251" s="487"/>
      <c r="M251" s="403"/>
      <c r="AB251"/>
      <c r="AC251"/>
      <c r="AD251"/>
      <c r="AE251"/>
      <c r="AF251"/>
      <c r="AG251"/>
      <c r="AH251"/>
      <c r="AI251"/>
      <c r="AJ251"/>
      <c r="AK251"/>
      <c r="AL251"/>
      <c r="AM251"/>
      <c r="AN251"/>
      <c r="AO251"/>
      <c r="AP251" s="270"/>
      <c r="AQ251" s="281">
        <f t="shared" si="45"/>
        <v>169</v>
      </c>
      <c r="AR251">
        <f t="shared" si="51"/>
        <v>967.31</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221.39</v>
      </c>
      <c r="H252" s="256">
        <v>0.128</v>
      </c>
      <c r="I252" s="673">
        <v>221.69</v>
      </c>
      <c r="J252" s="700">
        <v>0.14299999999999999</v>
      </c>
      <c r="K252" s="496"/>
      <c r="L252" s="486"/>
      <c r="M252" s="403"/>
      <c r="AB252"/>
      <c r="AC252"/>
      <c r="AD252"/>
      <c r="AE252"/>
      <c r="AF252"/>
      <c r="AG252"/>
      <c r="AH252"/>
      <c r="AI252"/>
      <c r="AJ252"/>
      <c r="AK252"/>
      <c r="AL252"/>
      <c r="AM252"/>
      <c r="AN252"/>
      <c r="AO252"/>
      <c r="AP252" s="270"/>
      <c r="AQ252" s="281">
        <f t="shared" si="45"/>
        <v>170</v>
      </c>
      <c r="AR252">
        <f t="shared" si="51"/>
        <v>954.03</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241.06</v>
      </c>
      <c r="H253" s="255">
        <v>0.11700000000000001</v>
      </c>
      <c r="I253" s="674">
        <v>244.35</v>
      </c>
      <c r="J253" s="702">
        <v>0.627</v>
      </c>
      <c r="K253" s="496"/>
      <c r="L253" s="486"/>
      <c r="M253" s="404"/>
      <c r="AB253"/>
      <c r="AC253"/>
      <c r="AD253"/>
      <c r="AE253"/>
      <c r="AF253"/>
      <c r="AG253"/>
      <c r="AH253"/>
      <c r="AI253"/>
      <c r="AJ253"/>
      <c r="AK253"/>
      <c r="AL253"/>
      <c r="AM253"/>
      <c r="AN253"/>
      <c r="AO253"/>
      <c r="AP253" s="270"/>
      <c r="AQ253" s="281">
        <f t="shared" si="45"/>
        <v>171</v>
      </c>
      <c r="AR253">
        <f t="shared" si="51"/>
        <v>947.55</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512.95000000000005</v>
      </c>
      <c r="H254" s="256">
        <v>6.3460000000000001</v>
      </c>
      <c r="I254" s="673">
        <v>513.47</v>
      </c>
      <c r="J254" s="701">
        <v>6.5289999999999999</v>
      </c>
      <c r="K254" s="496"/>
      <c r="L254" s="487"/>
      <c r="M254" s="668"/>
      <c r="AB254"/>
      <c r="AC254"/>
      <c r="AD254"/>
      <c r="AE254"/>
      <c r="AF254"/>
      <c r="AG254"/>
      <c r="AH254"/>
      <c r="AI254"/>
      <c r="AJ254"/>
      <c r="AK254"/>
      <c r="AL254"/>
      <c r="AM254"/>
      <c r="AN254"/>
      <c r="AO254"/>
      <c r="AP254" s="270"/>
      <c r="AQ254" s="281">
        <f t="shared" si="45"/>
        <v>172</v>
      </c>
      <c r="AR254">
        <f t="shared" si="51"/>
        <v>939.3</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v>
      </c>
      <c r="H255" s="256">
        <v>1.827</v>
      </c>
      <c r="I255" s="327">
        <v>144.80000000000001</v>
      </c>
      <c r="J255" s="701">
        <v>0.66800000000000004</v>
      </c>
      <c r="K255" s="496"/>
      <c r="L255" s="487"/>
      <c r="M255" s="402"/>
      <c r="AB255"/>
      <c r="AC255"/>
      <c r="AD255"/>
      <c r="AE255"/>
      <c r="AF255"/>
      <c r="AG255"/>
      <c r="AH255"/>
      <c r="AI255"/>
      <c r="AJ255"/>
      <c r="AK255"/>
      <c r="AL255"/>
      <c r="AM255"/>
      <c r="AN255"/>
      <c r="AO255"/>
      <c r="AP255" s="270"/>
      <c r="AQ255" s="281">
        <f t="shared" si="45"/>
        <v>173</v>
      </c>
      <c r="AR255">
        <f>IF(AH28="tad","tad",AH28)</f>
        <v>923.85</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201.11</v>
      </c>
      <c r="H256" s="257">
        <v>1.321</v>
      </c>
      <c r="I256" s="327">
        <v>202.24</v>
      </c>
      <c r="J256" s="700">
        <v>1.8109999999999999</v>
      </c>
      <c r="K256" s="496"/>
      <c r="L256" s="487"/>
      <c r="M256" s="402"/>
      <c r="AB256"/>
      <c r="AC256"/>
      <c r="AD256"/>
      <c r="AE256"/>
      <c r="AF256"/>
      <c r="AG256"/>
      <c r="AH256"/>
      <c r="AI256"/>
      <c r="AJ256"/>
      <c r="AK256"/>
      <c r="AL256"/>
      <c r="AM256"/>
      <c r="AN256"/>
      <c r="AO256"/>
      <c r="AP256" s="270"/>
      <c r="AQ256" s="281">
        <f t="shared" si="45"/>
        <v>174</v>
      </c>
      <c r="AR256">
        <f t="shared" ref="AR256:AR262" si="52">IF(AH28="tad","tad",AH28)</f>
        <v>923.85</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323.87</v>
      </c>
      <c r="H257" s="257">
        <v>0.48799999999999999</v>
      </c>
      <c r="I257" s="673">
        <v>322.89999999999998</v>
      </c>
      <c r="J257" s="701">
        <v>0.40400000000000003</v>
      </c>
      <c r="K257" s="496"/>
      <c r="L257" s="466"/>
      <c r="M257" s="404"/>
      <c r="AB257"/>
      <c r="AC257"/>
      <c r="AD257"/>
      <c r="AE257"/>
      <c r="AF257"/>
      <c r="AG257"/>
      <c r="AH257"/>
      <c r="AI257"/>
      <c r="AJ257"/>
      <c r="AK257"/>
      <c r="AL257"/>
      <c r="AM257"/>
      <c r="AN257"/>
      <c r="AO257"/>
      <c r="AP257" s="270"/>
      <c r="AQ257" s="281">
        <f t="shared" si="45"/>
        <v>175</v>
      </c>
      <c r="AR257">
        <f t="shared" si="52"/>
        <v>911.66</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127.6</v>
      </c>
      <c r="H258" s="256">
        <v>0.499</v>
      </c>
      <c r="I258" s="673">
        <v>128.22</v>
      </c>
      <c r="J258" s="700">
        <v>0.57899999999999996</v>
      </c>
      <c r="K258" s="496"/>
      <c r="L258" s="466"/>
      <c r="M258" s="669"/>
      <c r="AB258"/>
      <c r="AC258"/>
      <c r="AD258"/>
      <c r="AE258"/>
      <c r="AF258"/>
      <c r="AG258"/>
      <c r="AH258"/>
      <c r="AI258"/>
      <c r="AJ258"/>
      <c r="AK258"/>
      <c r="AL258"/>
      <c r="AM258"/>
      <c r="AN258"/>
      <c r="AO258"/>
      <c r="AP258" s="270"/>
      <c r="AQ258" s="281">
        <f t="shared" si="45"/>
        <v>176</v>
      </c>
      <c r="AR258">
        <f t="shared" si="52"/>
        <v>910.08</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279.39</v>
      </c>
      <c r="H259" s="256">
        <v>0.16</v>
      </c>
      <c r="I259" s="327">
        <v>281.47000000000003</v>
      </c>
      <c r="J259" s="700">
        <v>0.34300000000000003</v>
      </c>
      <c r="K259" s="496"/>
      <c r="L259" s="486"/>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97.58</v>
      </c>
      <c r="H260" s="256">
        <v>1.9019999999999999</v>
      </c>
      <c r="I260" s="673">
        <v>97.89</v>
      </c>
      <c r="J260" s="701">
        <v>2.0920000000000001</v>
      </c>
      <c r="K260" s="496"/>
      <c r="L260" s="486"/>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189.49</v>
      </c>
      <c r="H261" s="256">
        <v>7.4999999999999997E-2</v>
      </c>
      <c r="I261" s="673">
        <v>188.12</v>
      </c>
      <c r="J261" s="701">
        <v>2.9000000000000001E-2</v>
      </c>
      <c r="K261" s="496"/>
      <c r="L261" s="466"/>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169.79</v>
      </c>
      <c r="H262" s="296">
        <v>6.3E-2</v>
      </c>
      <c r="I262" s="673">
        <v>170.67</v>
      </c>
      <c r="J262" s="701">
        <v>8.4000000000000005E-2</v>
      </c>
      <c r="K262" s="496"/>
      <c r="L262" s="466"/>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139.34</v>
      </c>
      <c r="H263" s="256">
        <v>6.4870000000000001</v>
      </c>
      <c r="I263" s="327">
        <v>139.35</v>
      </c>
      <c r="J263" s="703">
        <v>6.5140000000000002</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237.78</v>
      </c>
      <c r="H264" s="296">
        <v>1.746</v>
      </c>
      <c r="I264" s="327">
        <v>238.75</v>
      </c>
      <c r="J264" s="703">
        <v>2.27</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118.34</v>
      </c>
      <c r="H265" s="256">
        <v>2.1789999999999998</v>
      </c>
      <c r="I265" s="327">
        <v>118.34</v>
      </c>
      <c r="J265" s="700">
        <v>2.1789999999999998</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109.74</v>
      </c>
      <c r="H266" s="256">
        <v>1.4930000000000001</v>
      </c>
      <c r="I266" s="327">
        <v>110.09</v>
      </c>
      <c r="J266" s="700">
        <v>1.8580000000000001</v>
      </c>
      <c r="K266" s="496"/>
      <c r="L266" s="490"/>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62.35</v>
      </c>
      <c r="H267" s="296">
        <v>16.670000000000002</v>
      </c>
      <c r="I267" s="327">
        <v>60.05</v>
      </c>
      <c r="J267" s="703">
        <v>13.24</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163.02000000000001</v>
      </c>
      <c r="H268" s="296">
        <v>183.93</v>
      </c>
      <c r="I268" s="327">
        <v>160.5</v>
      </c>
      <c r="J268" s="703">
        <v>163.76</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229.66</v>
      </c>
      <c r="H269" s="296">
        <v>8.6639999999999997</v>
      </c>
      <c r="I269" s="327">
        <v>229.66</v>
      </c>
      <c r="J269" s="703">
        <v>8.6639999999999997</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149.25</v>
      </c>
      <c r="H270" s="331">
        <v>15.36</v>
      </c>
      <c r="I270" s="314">
        <v>148.86000000000001</v>
      </c>
      <c r="J270" s="705">
        <v>15.03</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38.46</v>
      </c>
      <c r="J271" s="700">
        <v>0.41399999999999998</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69.790000000000006</v>
      </c>
      <c r="J272" s="700">
        <v>0.68700000000000006</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997.3660000000001</v>
      </c>
      <c r="I273" s="317"/>
      <c r="J273" s="691">
        <f>SUM(J228:J272)</f>
        <v>939.30319999999961</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0.94178385868377257</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0.54774339005705142</v>
      </c>
      <c r="I275" s="324"/>
      <c r="J275" s="693">
        <f>+J273/F273</f>
        <v>0.51585588345646061</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x14ac:dyDescent="0.25">
      <c r="B277" s="290"/>
      <c r="C277" s="259"/>
      <c r="D277" s="259"/>
      <c r="E277" s="259"/>
      <c r="F277" s="507">
        <v>19</v>
      </c>
      <c r="G277" s="555" t="s">
        <v>6</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54.5</v>
      </c>
      <c r="H282" s="255">
        <v>24.076000000000001</v>
      </c>
      <c r="I282" s="654">
        <v>53.63</v>
      </c>
      <c r="J282" s="654">
        <v>19.754000000000001</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339.51</v>
      </c>
      <c r="J283" s="697">
        <v>7.7770000000000001</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73.23</v>
      </c>
      <c r="H284" s="296">
        <v>25.376999999999999</v>
      </c>
      <c r="I284" s="327">
        <v>75.459999999999994</v>
      </c>
      <c r="J284" s="697">
        <v>36.744999999999997</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461.3</v>
      </c>
      <c r="H285" s="327">
        <v>19.064</v>
      </c>
      <c r="I285" s="313">
        <v>461.25</v>
      </c>
      <c r="J285" s="255">
        <v>18.457000000000001</v>
      </c>
      <c r="K285" s="373" t="s">
        <v>181</v>
      </c>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206.17</v>
      </c>
      <c r="H286" s="257">
        <v>8.5139999999999993</v>
      </c>
      <c r="I286" s="653">
        <v>207.01</v>
      </c>
      <c r="J286" s="255">
        <v>8.6530000000000005</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316.10000000000002</v>
      </c>
      <c r="H287" s="257">
        <v>3.4119999999999999</v>
      </c>
      <c r="I287" s="653">
        <v>316.39999999999998</v>
      </c>
      <c r="J287" s="255">
        <v>3.4929999999999999</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81.12</v>
      </c>
      <c r="H288" s="256">
        <v>330.346</v>
      </c>
      <c r="I288" s="653">
        <v>82.12</v>
      </c>
      <c r="J288" s="255">
        <v>361.63799999999998</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86.34</v>
      </c>
      <c r="H289" s="817">
        <v>16.852</v>
      </c>
      <c r="I289" s="817">
        <v>88.01</v>
      </c>
      <c r="J289" s="817">
        <v>18.827999999999999</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115.82</v>
      </c>
      <c r="H291" s="296">
        <v>0.29799999999999999</v>
      </c>
      <c r="I291" s="329">
        <v>116.02</v>
      </c>
      <c r="J291" s="255">
        <v>0.33200000000000002</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117.38</v>
      </c>
      <c r="H292" s="296">
        <v>0.59299999999999997</v>
      </c>
      <c r="I292" s="653">
        <v>117.65</v>
      </c>
      <c r="J292" s="255">
        <v>0.61499999999999999</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44.17</v>
      </c>
      <c r="H293" s="256">
        <v>4.2270000000000003</v>
      </c>
      <c r="I293" s="653">
        <v>44.36</v>
      </c>
      <c r="J293" s="255">
        <v>4.2830000000000004</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43.93</v>
      </c>
      <c r="H294" s="256">
        <v>2.0150000000000001</v>
      </c>
      <c r="I294" s="657">
        <v>50.6</v>
      </c>
      <c r="J294" s="255">
        <v>2.1680000000000001</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74.2</v>
      </c>
      <c r="H295" s="609">
        <v>0.38100000000000001</v>
      </c>
      <c r="I295" s="653">
        <v>74.5</v>
      </c>
      <c r="J295" s="255">
        <v>0.42699999999999999</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80.11</v>
      </c>
      <c r="H296" s="296">
        <v>8.0000000000000002E-3</v>
      </c>
      <c r="I296" s="653">
        <v>80.25</v>
      </c>
      <c r="J296" s="255">
        <v>1.0999999999999999E-2</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61.7</v>
      </c>
      <c r="H297" s="256">
        <v>5.1999999999999998E-2</v>
      </c>
      <c r="I297" s="653">
        <v>62.07</v>
      </c>
      <c r="J297" s="255">
        <v>6.7000000000000004E-2</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45.06</v>
      </c>
      <c r="H298" s="296">
        <v>0.13700000000000001</v>
      </c>
      <c r="I298" s="653">
        <v>45.32</v>
      </c>
      <c r="J298" s="255">
        <v>0.16200000000000001</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134.4</v>
      </c>
      <c r="H299" s="256">
        <v>281.11</v>
      </c>
      <c r="I299" s="256">
        <v>132.84</v>
      </c>
      <c r="J299" s="707">
        <v>209.215</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183.22</v>
      </c>
      <c r="H300" s="256">
        <v>21.606999999999999</v>
      </c>
      <c r="I300" s="256">
        <v>183.76</v>
      </c>
      <c r="J300" s="707">
        <v>22.655999999999999</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108.45</v>
      </c>
      <c r="H301" s="256">
        <v>0.54100000000000004</v>
      </c>
      <c r="I301" s="256">
        <v>110.68</v>
      </c>
      <c r="J301" s="707">
        <v>1.1919999999999999</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201.26</v>
      </c>
      <c r="H302" s="256">
        <v>8.7999999999999995E-2</v>
      </c>
      <c r="I302" s="257">
        <v>200.09</v>
      </c>
      <c r="J302" s="707">
        <v>3.2000000000000001E-2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220.03</v>
      </c>
      <c r="H303" s="256">
        <v>0.153</v>
      </c>
      <c r="I303" s="256">
        <v>219.08</v>
      </c>
      <c r="J303" s="707">
        <v>0.107</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192.8</v>
      </c>
      <c r="H304" s="256">
        <v>0.251</v>
      </c>
      <c r="I304" s="257">
        <v>192.57</v>
      </c>
      <c r="J304" s="708">
        <v>0.223</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162.19</v>
      </c>
      <c r="H305" s="256">
        <v>0.02</v>
      </c>
      <c r="I305" s="257">
        <v>164.83</v>
      </c>
      <c r="J305" s="707">
        <v>0.214</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221.39</v>
      </c>
      <c r="H306" s="256">
        <v>0.128</v>
      </c>
      <c r="I306" s="257">
        <v>221.7</v>
      </c>
      <c r="J306" s="707">
        <v>0.14399999999999999</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241.06</v>
      </c>
      <c r="H307" s="255">
        <v>0.11700000000000001</v>
      </c>
      <c r="I307" s="365">
        <v>244.36</v>
      </c>
      <c r="J307" s="709">
        <v>0.629</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512.95000000000005</v>
      </c>
      <c r="H308" s="256">
        <v>6.3460000000000001</v>
      </c>
      <c r="I308" s="257">
        <v>513.47</v>
      </c>
      <c r="J308" s="708">
        <v>6.5250000000000004</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147.5</v>
      </c>
      <c r="H309" s="256">
        <v>1.827</v>
      </c>
      <c r="I309" s="256">
        <v>144.80000000000001</v>
      </c>
      <c r="J309" s="708">
        <v>0.66800000000000004</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201.11</v>
      </c>
      <c r="H310" s="257">
        <v>1.321</v>
      </c>
      <c r="I310" s="256">
        <v>202.31</v>
      </c>
      <c r="J310" s="707">
        <v>1.845</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323.87</v>
      </c>
      <c r="H311" s="257">
        <v>0.48799999999999999</v>
      </c>
      <c r="I311" s="257">
        <v>323</v>
      </c>
      <c r="J311" s="708">
        <v>0.41299999999999998</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127.6</v>
      </c>
      <c r="H312" s="256">
        <v>0.499</v>
      </c>
      <c r="I312" s="257">
        <v>128.22</v>
      </c>
      <c r="J312" s="707">
        <v>0.57899999999999996</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279.39</v>
      </c>
      <c r="H313" s="256">
        <v>0.16</v>
      </c>
      <c r="I313" s="256">
        <v>281.17</v>
      </c>
      <c r="J313" s="707">
        <v>0.312</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97.58</v>
      </c>
      <c r="H314" s="256">
        <v>1.9019999999999999</v>
      </c>
      <c r="I314" s="257">
        <v>97.92</v>
      </c>
      <c r="J314" s="708">
        <v>2.1110000000000002</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189.49</v>
      </c>
      <c r="H315" s="256">
        <v>7.4999999999999997E-2</v>
      </c>
      <c r="I315" s="257">
        <v>188.09</v>
      </c>
      <c r="J315" s="708">
        <v>2.8000000000000001E-2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169.79</v>
      </c>
      <c r="H316" s="296">
        <v>6.3E-2</v>
      </c>
      <c r="I316" s="257">
        <v>170.64</v>
      </c>
      <c r="J316" s="708">
        <v>8.4000000000000005E-2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139.34</v>
      </c>
      <c r="H317" s="256">
        <v>6.4870000000000001</v>
      </c>
      <c r="I317" s="256">
        <v>139.37</v>
      </c>
      <c r="J317" s="710">
        <v>6.5670000000000002</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237.78</v>
      </c>
      <c r="H318" s="296">
        <v>1.746</v>
      </c>
      <c r="I318" s="645">
        <v>238.75</v>
      </c>
      <c r="J318" s="711">
        <v>2.27</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118.34</v>
      </c>
      <c r="H319" s="256">
        <v>2.1789999999999998</v>
      </c>
      <c r="I319" s="256">
        <v>118.37</v>
      </c>
      <c r="J319" s="707">
        <v>2.2290000000000001</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109.74</v>
      </c>
      <c r="H320" s="256">
        <v>1.4930000000000001</v>
      </c>
      <c r="I320" s="256">
        <v>110.1</v>
      </c>
      <c r="J320" s="707">
        <v>1.877</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62.35</v>
      </c>
      <c r="H321" s="296">
        <v>16.670000000000002</v>
      </c>
      <c r="I321" s="256">
        <v>60.29</v>
      </c>
      <c r="J321" s="710">
        <v>13.58</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163.02000000000001</v>
      </c>
      <c r="H322" s="296">
        <v>183.93</v>
      </c>
      <c r="I322" s="256">
        <v>160.69999999999999</v>
      </c>
      <c r="J322" s="703">
        <v>165.37</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229.65</v>
      </c>
      <c r="H323" s="296">
        <v>8.6120000000000001</v>
      </c>
      <c r="I323" s="256">
        <v>229.74</v>
      </c>
      <c r="J323" s="710">
        <v>9.0860000000000003</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149.25</v>
      </c>
      <c r="H324" s="331">
        <v>15.36</v>
      </c>
      <c r="I324" s="314">
        <v>148.91999999999999</v>
      </c>
      <c r="J324" s="705">
        <v>15.08</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38.46</v>
      </c>
      <c r="J325" s="707">
        <v>0.41399999999999998</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69.790000000000006</v>
      </c>
      <c r="J326" s="707">
        <v>0.68700000000000006</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997.31400000000008</v>
      </c>
      <c r="I327" s="317"/>
      <c r="J327" s="280">
        <f>SUM(J282:J326)</f>
        <v>947.54700000000003</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0.95009896582219833</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0.54771483217931849</v>
      </c>
      <c r="I329" s="324"/>
      <c r="J329" s="266">
        <f>+J327/F327</f>
        <v>0.52038329561904939</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18</v>
      </c>
      <c r="G331" s="555" t="s">
        <v>6</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54.5</v>
      </c>
      <c r="H336" s="442">
        <v>24.076000000000001</v>
      </c>
      <c r="I336" s="659">
        <v>53.65</v>
      </c>
      <c r="J336" s="696">
        <v>19.841999999999999</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339.5</v>
      </c>
      <c r="J337" s="697">
        <v>7.77</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73.23</v>
      </c>
      <c r="H338" s="296">
        <v>25.376999999999999</v>
      </c>
      <c r="I338" s="256">
        <v>75.52</v>
      </c>
      <c r="J338" s="697">
        <v>37.076000000000001</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461.3</v>
      </c>
      <c r="H339" s="327">
        <v>19.064</v>
      </c>
      <c r="I339" s="313">
        <v>461.15</v>
      </c>
      <c r="J339" s="698">
        <v>17.282</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206.17</v>
      </c>
      <c r="H340" s="257">
        <v>8.5139999999999993</v>
      </c>
      <c r="I340" s="653">
        <v>207.01</v>
      </c>
      <c r="J340" s="697">
        <v>8.6530000000000005</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316.10000000000002</v>
      </c>
      <c r="H341" s="257">
        <v>3.4119999999999999</v>
      </c>
      <c r="I341" s="653">
        <v>316.39999999999998</v>
      </c>
      <c r="J341" s="697">
        <v>3.4929999999999999</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81.12</v>
      </c>
      <c r="H342" s="256">
        <v>330.346</v>
      </c>
      <c r="I342" s="653">
        <v>82.15</v>
      </c>
      <c r="J342" s="697">
        <v>362.60700000000003</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86.34</v>
      </c>
      <c r="H343" s="817">
        <v>16.852</v>
      </c>
      <c r="I343" s="817">
        <v>88.01</v>
      </c>
      <c r="J343" s="817">
        <v>18.827999999999999</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115.82</v>
      </c>
      <c r="H345" s="296">
        <v>0.29799999999999999</v>
      </c>
      <c r="I345" s="329">
        <v>116.03</v>
      </c>
      <c r="J345" s="697">
        <v>0.33400000000000002</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117.38</v>
      </c>
      <c r="H346" s="296">
        <v>0.59299999999999997</v>
      </c>
      <c r="I346" s="660">
        <v>117.66</v>
      </c>
      <c r="J346" s="699">
        <v>0.61699999999999999</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44.17</v>
      </c>
      <c r="H347" s="256">
        <v>4.2270000000000003</v>
      </c>
      <c r="I347" s="653">
        <v>44.36</v>
      </c>
      <c r="J347" s="697">
        <v>4.2830000000000004</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43.93</v>
      </c>
      <c r="H348" s="256">
        <v>2.0150000000000001</v>
      </c>
      <c r="I348" s="657">
        <v>50.62</v>
      </c>
      <c r="J348" s="697">
        <v>2.1749999999999998</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74.2</v>
      </c>
      <c r="H349" s="609">
        <v>0.38100000000000001</v>
      </c>
      <c r="I349" s="653">
        <v>74.5</v>
      </c>
      <c r="J349" s="697">
        <v>0.42699999999999999</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80.11</v>
      </c>
      <c r="H350" s="296">
        <v>8.0000000000000002E-3</v>
      </c>
      <c r="I350" s="653">
        <v>80.260000000000005</v>
      </c>
      <c r="J350" s="697">
        <v>1.0999999999999999E-2</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61.7</v>
      </c>
      <c r="H351" s="256">
        <v>5.1999999999999998E-2</v>
      </c>
      <c r="I351" s="653">
        <v>62.08</v>
      </c>
      <c r="J351" s="697">
        <v>6.8000000000000005E-2</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45.06</v>
      </c>
      <c r="H352" s="296">
        <v>0.13700000000000001</v>
      </c>
      <c r="I352" s="653">
        <v>45.37</v>
      </c>
      <c r="J352" s="697">
        <v>0.16800000000000001</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134.4</v>
      </c>
      <c r="H353" s="256">
        <v>281.11</v>
      </c>
      <c r="I353" s="256">
        <v>132.88</v>
      </c>
      <c r="J353" s="700">
        <v>210.88300000000001</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183.22</v>
      </c>
      <c r="H354" s="256">
        <v>21.606999999999999</v>
      </c>
      <c r="I354" s="256">
        <v>183.79</v>
      </c>
      <c r="J354" s="700">
        <v>22.713999999999999</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108.45</v>
      </c>
      <c r="H355" s="256">
        <v>0.54100000000000004</v>
      </c>
      <c r="I355" s="256">
        <v>110.76</v>
      </c>
      <c r="J355" s="700">
        <v>1.2190000000000001</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201.26</v>
      </c>
      <c r="H356" s="256">
        <v>8.7999999999999995E-2</v>
      </c>
      <c r="I356" s="257">
        <v>200.1</v>
      </c>
      <c r="J356" s="700">
        <v>3.2000000000000001E-2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220.03</v>
      </c>
      <c r="H357" s="256">
        <v>0.153</v>
      </c>
      <c r="I357" s="256">
        <v>219.09</v>
      </c>
      <c r="J357" s="700">
        <v>0.108</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192.8</v>
      </c>
      <c r="H358" s="256">
        <v>0.251</v>
      </c>
      <c r="I358" s="257">
        <v>192.63</v>
      </c>
      <c r="J358" s="701">
        <v>0.23</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162.19</v>
      </c>
      <c r="H359" s="256">
        <v>0.02</v>
      </c>
      <c r="I359" s="257">
        <v>164.84</v>
      </c>
      <c r="J359" s="700">
        <v>0.215</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221.39</v>
      </c>
      <c r="H360" s="256">
        <v>0.128</v>
      </c>
      <c r="I360" s="257">
        <v>221.7</v>
      </c>
      <c r="J360" s="700">
        <v>0.14399999999999999</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241.06</v>
      </c>
      <c r="H361" s="255">
        <v>0.11700000000000001</v>
      </c>
      <c r="I361" s="365">
        <v>244.37</v>
      </c>
      <c r="J361" s="702">
        <v>0.63100000000000001</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512.95000000000005</v>
      </c>
      <c r="H362" s="256">
        <v>6.3460000000000001</v>
      </c>
      <c r="I362" s="257">
        <v>513.49</v>
      </c>
      <c r="J362" s="701">
        <v>6.532</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v>
      </c>
      <c r="H363" s="256">
        <v>1.827</v>
      </c>
      <c r="I363" s="256">
        <v>144.80000000000001</v>
      </c>
      <c r="J363" s="701">
        <v>0.66800000000000004</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201.11</v>
      </c>
      <c r="H364" s="257">
        <v>1.321</v>
      </c>
      <c r="I364" s="256">
        <v>202.39</v>
      </c>
      <c r="J364" s="700">
        <v>1.883</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323.87</v>
      </c>
      <c r="H365" s="257">
        <v>0.48799999999999999</v>
      </c>
      <c r="I365" s="257">
        <v>323</v>
      </c>
      <c r="J365" s="701">
        <v>0.41299999999999998</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127.6</v>
      </c>
      <c r="H366" s="256">
        <v>0.499</v>
      </c>
      <c r="I366" s="257">
        <v>128.22</v>
      </c>
      <c r="J366" s="700">
        <v>0.57899999999999996</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279.39</v>
      </c>
      <c r="H367" s="256">
        <v>0.16</v>
      </c>
      <c r="I367" s="256">
        <v>281.14999999999998</v>
      </c>
      <c r="J367" s="700">
        <v>0.34200000000000003</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97.58</v>
      </c>
      <c r="H368" s="256">
        <v>1.9019999999999999</v>
      </c>
      <c r="I368" s="256">
        <v>97.93</v>
      </c>
      <c r="J368" s="700">
        <v>2.117</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189.49</v>
      </c>
      <c r="H369" s="256">
        <v>7.4999999999999997E-2</v>
      </c>
      <c r="I369" s="257">
        <v>188.08</v>
      </c>
      <c r="J369" s="701">
        <v>2.7E-2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169.79</v>
      </c>
      <c r="H370" s="296">
        <v>6.3E-2</v>
      </c>
      <c r="I370" s="257">
        <v>170.7</v>
      </c>
      <c r="J370" s="701">
        <v>8.5000000000000006E-2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139.34</v>
      </c>
      <c r="H371" s="256">
        <v>6.4870000000000001</v>
      </c>
      <c r="I371" s="256">
        <v>139.4</v>
      </c>
      <c r="J371" s="703">
        <v>6.6479999999999997</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237.78</v>
      </c>
      <c r="H372" s="296">
        <v>1.746</v>
      </c>
      <c r="I372" s="256">
        <v>238.75</v>
      </c>
      <c r="J372" s="703">
        <v>2.27</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118.34</v>
      </c>
      <c r="H373" s="256">
        <v>2.1789999999999998</v>
      </c>
      <c r="I373" s="256">
        <v>118.39</v>
      </c>
      <c r="J373" s="700">
        <v>2.262</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109.74</v>
      </c>
      <c r="H374" s="256">
        <v>1.4930000000000001</v>
      </c>
      <c r="I374" s="256">
        <v>110.11</v>
      </c>
      <c r="J374" s="700">
        <v>1.8959999999999999</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62.35</v>
      </c>
      <c r="H375" s="296">
        <v>16.670000000000002</v>
      </c>
      <c r="I375" s="256">
        <v>160.94999999999999</v>
      </c>
      <c r="J375" s="703">
        <v>167.37</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163.02000000000001</v>
      </c>
      <c r="H376" s="296">
        <v>183.93</v>
      </c>
      <c r="I376" s="256">
        <v>60.59</v>
      </c>
      <c r="J376" s="703">
        <v>14.01</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229.64</v>
      </c>
      <c r="H377" s="296">
        <v>8.56</v>
      </c>
      <c r="I377" s="256">
        <v>230.06</v>
      </c>
      <c r="J377" s="704">
        <v>10.88</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149.25</v>
      </c>
      <c r="H378" s="331">
        <v>15.36</v>
      </c>
      <c r="I378" s="314">
        <v>148.99</v>
      </c>
      <c r="J378" s="705">
        <v>15.14</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38.46</v>
      </c>
      <c r="J379" s="706">
        <v>0.41399999999999998</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69.790000000000006</v>
      </c>
      <c r="J380" s="833">
        <v>0.68700000000000006</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997.26200000000006</v>
      </c>
      <c r="I381" s="317"/>
      <c r="J381" s="280">
        <f>SUM(J336:J380)</f>
        <v>954.03300000000002</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0.95665231403583006</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0.54768627430158556</v>
      </c>
      <c r="I383" s="324"/>
      <c r="J383" s="266">
        <f>+J381/F381</f>
        <v>0.52394534167627416</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2"/>
        <v>-2.7832399999999997</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-2.7832399999999997</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9" type="noConversion"/>
  <conditionalFormatting sqref="M8:M14 M26:M49 M51:M53 M55:M56 M58:M63 N65:N82 M113:M119 M131:M154 M156 M159:M168 M170:M173 M219 M315:M323 M367:M470">
    <cfRule type="containsText" dxfId="33" priority="6" stopIfTrue="1" operator="containsText" text="FALSE">
      <formula>NOT(ISERROR(SEARCH("FALSE",M8)))</formula>
    </cfRule>
  </conditionalFormatting>
  <printOptions horizontalCentered="1"/>
  <pageMargins left="0.19685039370078741" right="0.19685039370078741" top="0" bottom="0.11811023622047245" header="0" footer="0"/>
  <pageSetup paperSize="9" scale="49"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 (2)</vt:lpstr>
      <vt:lpstr>RINCI 2</vt:lpstr>
      <vt:lpstr>RINCI 2 (2)</vt:lpstr>
      <vt:lpstr>RINCI 2 (3)</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 (2)'!Print_Area</vt:lpstr>
      <vt:lpstr>'RINCI 2'!Print_Area</vt:lpstr>
      <vt:lpstr>'RINCI 2 (2)'!Print_Area</vt:lpstr>
      <vt:lpstr>'RINCI 2 (3)'!Print_Area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2024-04-03T01:27:52Z</cp:lastPrinted>
  <dcterms:created xsi:type="dcterms:W3CDTF">2001-01-08T14:44:55Z</dcterms:created>
  <dcterms:modified xsi:type="dcterms:W3CDTF">2024-06-27T08:57:24Z</dcterms:modified>
</cp:coreProperties>
</file>