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0260" windowHeight="8115" tabRatio="788"/>
  </bookViews>
  <sheets>
    <sheet name="P1" sheetId="2" r:id="rId1"/>
    <sheet name="Sheet2" sheetId="22" r:id="rId2"/>
  </sheets>
  <definedNames>
    <definedName name="_xlnm.Print_Area" localSheetId="0">'P1'!$B$1:$V$76</definedName>
    <definedName name="_xlnm.Print_Titles" localSheetId="0">'P1'!$B:$V,'P1'!$1:$9</definedName>
  </definedNames>
  <calcPr calcId="125725" fullCalcOnLoad="1"/>
</workbook>
</file>

<file path=xl/calcChain.xml><?xml version="1.0" encoding="utf-8"?>
<calcChain xmlns="http://schemas.openxmlformats.org/spreadsheetml/2006/main">
  <c r="U52" i="2"/>
  <c r="K52"/>
  <c r="Z56"/>
  <c r="AB56"/>
  <c r="Z53"/>
  <c r="K36"/>
  <c r="M36" s="1"/>
  <c r="S52"/>
  <c r="M56"/>
  <c r="O56" s="1"/>
  <c r="Q56" s="1"/>
  <c r="T56" s="1"/>
  <c r="R44"/>
  <c r="AH37"/>
  <c r="S37" s="1"/>
  <c r="R11"/>
  <c r="R58"/>
  <c r="C21" i="22"/>
  <c r="F18" s="1"/>
  <c r="F11"/>
  <c r="F10"/>
  <c r="F9"/>
  <c r="F8"/>
  <c r="F7"/>
  <c r="F6"/>
  <c r="F5"/>
  <c r="F4"/>
  <c r="AQ19" i="2"/>
  <c r="K44"/>
  <c r="M44" s="1"/>
  <c r="AH45"/>
  <c r="S45"/>
  <c r="K26"/>
  <c r="Q84"/>
  <c r="AH38"/>
  <c r="M45"/>
  <c r="AI42"/>
  <c r="AL42" s="1"/>
  <c r="AM42" s="1"/>
  <c r="AI41"/>
  <c r="AL41" s="1"/>
  <c r="AM41" s="1"/>
  <c r="AG42"/>
  <c r="AG41"/>
  <c r="AJ50"/>
  <c r="AM50" s="1"/>
  <c r="AN50" s="1"/>
  <c r="AJ49"/>
  <c r="AM49" s="1"/>
  <c r="AN49" s="1"/>
  <c r="AG50"/>
  <c r="AG49"/>
  <c r="AC26"/>
  <c r="M29"/>
  <c r="Q29"/>
  <c r="M28"/>
  <c r="O28" s="1"/>
  <c r="AH27"/>
  <c r="Q25"/>
  <c r="I61"/>
  <c r="P58"/>
  <c r="M34"/>
  <c r="O34"/>
  <c r="Q34"/>
  <c r="T34" s="1"/>
  <c r="M33"/>
  <c r="O33"/>
  <c r="Q33"/>
  <c r="T33" s="1"/>
  <c r="M32"/>
  <c r="O32" s="1"/>
  <c r="Q32" s="1"/>
  <c r="T32" s="1"/>
  <c r="M31"/>
  <c r="O31"/>
  <c r="Q31" s="1"/>
  <c r="T31" s="1"/>
  <c r="M30"/>
  <c r="O30"/>
  <c r="Q30"/>
  <c r="T30" s="1"/>
  <c r="M27"/>
  <c r="M42"/>
  <c r="O42"/>
  <c r="Q42"/>
  <c r="M41"/>
  <c r="Z41" s="1"/>
  <c r="AB41" s="1"/>
  <c r="O41"/>
  <c r="Q41"/>
  <c r="M40"/>
  <c r="M39"/>
  <c r="Z39" s="1"/>
  <c r="AB39" s="1"/>
  <c r="O39"/>
  <c r="Q39" s="1"/>
  <c r="M38"/>
  <c r="O38"/>
  <c r="M37"/>
  <c r="O37" s="1"/>
  <c r="M24"/>
  <c r="Z24" s="1"/>
  <c r="AB24" s="1"/>
  <c r="O24"/>
  <c r="Q24"/>
  <c r="M23"/>
  <c r="Z23" s="1"/>
  <c r="AB23" s="1"/>
  <c r="O23"/>
  <c r="Q23"/>
  <c r="M22"/>
  <c r="Z22" s="1"/>
  <c r="AB22" s="1"/>
  <c r="M21"/>
  <c r="Z21" s="1"/>
  <c r="AB21" s="1"/>
  <c r="O21"/>
  <c r="Q21" s="1"/>
  <c r="M20"/>
  <c r="O20"/>
  <c r="Q20"/>
  <c r="M19"/>
  <c r="Z19" s="1"/>
  <c r="O19"/>
  <c r="M50"/>
  <c r="O50"/>
  <c r="Q50" s="1"/>
  <c r="T50" s="1"/>
  <c r="M49"/>
  <c r="Z49" s="1"/>
  <c r="AB49" s="1"/>
  <c r="O49"/>
  <c r="Q49" s="1"/>
  <c r="T49" s="1"/>
  <c r="M48"/>
  <c r="M47"/>
  <c r="Z47" s="1"/>
  <c r="AB47" s="1"/>
  <c r="M46"/>
  <c r="Z46" s="1"/>
  <c r="AB46" s="1"/>
  <c r="M55"/>
  <c r="O55"/>
  <c r="M54"/>
  <c r="O54" s="1"/>
  <c r="Q54" s="1"/>
  <c r="T54" s="1"/>
  <c r="M53"/>
  <c r="O53" s="1"/>
  <c r="K18"/>
  <c r="M18" s="1"/>
  <c r="M52"/>
  <c r="L58"/>
  <c r="O60"/>
  <c r="P60"/>
  <c r="Q60"/>
  <c r="G61"/>
  <c r="H61"/>
  <c r="K61"/>
  <c r="L61"/>
  <c r="M61" s="1"/>
  <c r="O61"/>
  <c r="P61"/>
  <c r="Q61"/>
  <c r="G62"/>
  <c r="H62"/>
  <c r="I62"/>
  <c r="K62"/>
  <c r="L62"/>
  <c r="M62" s="1"/>
  <c r="O62"/>
  <c r="P62"/>
  <c r="Q62"/>
  <c r="H9"/>
  <c r="I9" s="1"/>
  <c r="J9" s="1"/>
  <c r="K9" s="1"/>
  <c r="L9" s="1"/>
  <c r="M9" s="1"/>
  <c r="O9" s="1"/>
  <c r="P9" s="1"/>
  <c r="Q9" s="1"/>
  <c r="R9" s="1"/>
  <c r="T9" s="1"/>
  <c r="U9" s="1"/>
  <c r="V9" s="1"/>
  <c r="S26"/>
  <c r="AH19"/>
  <c r="S19"/>
  <c r="S18" s="1"/>
  <c r="F19" i="22"/>
  <c r="F16"/>
  <c r="F21" s="1"/>
  <c r="F17"/>
  <c r="O48" i="2"/>
  <c r="Q48" s="1"/>
  <c r="T48" s="1"/>
  <c r="U11"/>
  <c r="U58" s="1"/>
  <c r="O46"/>
  <c r="Q46" s="1"/>
  <c r="T46" s="1"/>
  <c r="O27"/>
  <c r="Q27" s="1"/>
  <c r="T27" s="1"/>
  <c r="M26"/>
  <c r="Z29" s="1"/>
  <c r="AB29" s="1"/>
  <c r="Z55"/>
  <c r="AB55" s="1"/>
  <c r="Z54"/>
  <c r="Z52" s="1"/>
  <c r="O47"/>
  <c r="Q47" s="1"/>
  <c r="T47" s="1"/>
  <c r="AK49"/>
  <c r="R17"/>
  <c r="O45"/>
  <c r="O44" s="1"/>
  <c r="Q44" s="1"/>
  <c r="AK50"/>
  <c r="Z34"/>
  <c r="AB34" s="1"/>
  <c r="K17"/>
  <c r="K15" s="1"/>
  <c r="Q55"/>
  <c r="T55" s="1"/>
  <c r="Q38"/>
  <c r="AO20"/>
  <c r="T20"/>
  <c r="T24"/>
  <c r="AO24"/>
  <c r="AO41"/>
  <c r="T41"/>
  <c r="Q19"/>
  <c r="T23"/>
  <c r="AO23"/>
  <c r="AO42"/>
  <c r="T42"/>
  <c r="Q45"/>
  <c r="Z33"/>
  <c r="AB33" s="1"/>
  <c r="Z28"/>
  <c r="AB28" s="1"/>
  <c r="Z31"/>
  <c r="AB31" s="1"/>
  <c r="AB54"/>
  <c r="AO19"/>
  <c r="AB53"/>
  <c r="AB52" s="1"/>
  <c r="V52" s="1"/>
  <c r="T38"/>
  <c r="AO38"/>
  <c r="U17"/>
  <c r="S44"/>
  <c r="T45"/>
  <c r="AO44" l="1"/>
  <c r="W44"/>
  <c r="K67"/>
  <c r="K11"/>
  <c r="K58"/>
  <c r="M58" s="1"/>
  <c r="Q28"/>
  <c r="T28" s="1"/>
  <c r="O26"/>
  <c r="T44"/>
  <c r="Z48"/>
  <c r="AB48" s="1"/>
  <c r="Z50"/>
  <c r="AB50" s="1"/>
  <c r="Z40"/>
  <c r="AB40" s="1"/>
  <c r="Z45"/>
  <c r="Z42"/>
  <c r="AB42" s="1"/>
  <c r="Z38"/>
  <c r="AB38" s="1"/>
  <c r="O36"/>
  <c r="Q36" s="1"/>
  <c r="Q37"/>
  <c r="AO37" s="1"/>
  <c r="S36"/>
  <c r="T37"/>
  <c r="Q53"/>
  <c r="T53" s="1"/>
  <c r="O52"/>
  <c r="AB19"/>
  <c r="Z18"/>
  <c r="T21"/>
  <c r="AO21"/>
  <c r="T39"/>
  <c r="AO39"/>
  <c r="S17"/>
  <c r="Z20"/>
  <c r="AB20" s="1"/>
  <c r="S15"/>
  <c r="Z32"/>
  <c r="AB32" s="1"/>
  <c r="Z27"/>
  <c r="Z30"/>
  <c r="AB30" s="1"/>
  <c r="S79"/>
  <c r="Z37"/>
  <c r="T19"/>
  <c r="M17"/>
  <c r="O22"/>
  <c r="O40"/>
  <c r="Q40" s="1"/>
  <c r="Q22" l="1"/>
  <c r="O18"/>
  <c r="AB37"/>
  <c r="AB36" s="1"/>
  <c r="V36" s="1"/>
  <c r="Z36"/>
  <c r="W36"/>
  <c r="AB45"/>
  <c r="AB44" s="1"/>
  <c r="V44" s="1"/>
  <c r="Z44"/>
  <c r="T40"/>
  <c r="AO40"/>
  <c r="AO36" s="1"/>
  <c r="AP36" s="1"/>
  <c r="AB27"/>
  <c r="AB26" s="1"/>
  <c r="V26" s="1"/>
  <c r="Z26"/>
  <c r="Q52"/>
  <c r="T36"/>
  <c r="AC36"/>
  <c r="M15"/>
  <c r="Y17" s="1"/>
  <c r="AP44"/>
  <c r="T17"/>
  <c r="AB18"/>
  <c r="S58"/>
  <c r="S11"/>
  <c r="Q26"/>
  <c r="T26"/>
  <c r="Z17"/>
  <c r="Z60" l="1"/>
  <c r="W52"/>
  <c r="AO52"/>
  <c r="T52"/>
  <c r="T22"/>
  <c r="AO22"/>
  <c r="AO18" s="1"/>
  <c r="Z58"/>
  <c r="Z59" s="1"/>
  <c r="Y54"/>
  <c r="AA54" s="1"/>
  <c r="Y48"/>
  <c r="AA48" s="1"/>
  <c r="Y20"/>
  <c r="AA20" s="1"/>
  <c r="Y40"/>
  <c r="AA40" s="1"/>
  <c r="Y29"/>
  <c r="AA29" s="1"/>
  <c r="Y24"/>
  <c r="AA24" s="1"/>
  <c r="Y56"/>
  <c r="AA56" s="1"/>
  <c r="Y33"/>
  <c r="AA33" s="1"/>
  <c r="Y52"/>
  <c r="Y45"/>
  <c r="AA45" s="1"/>
  <c r="Y19"/>
  <c r="AA19" s="1"/>
  <c r="AA18" s="1"/>
  <c r="Y50"/>
  <c r="AA50" s="1"/>
  <c r="Y21"/>
  <c r="AA21" s="1"/>
  <c r="Y32"/>
  <c r="AA32" s="1"/>
  <c r="Y49"/>
  <c r="AA49" s="1"/>
  <c r="Y31"/>
  <c r="AA31" s="1"/>
  <c r="Y34"/>
  <c r="AA34" s="1"/>
  <c r="Y47"/>
  <c r="AA47" s="1"/>
  <c r="Y55"/>
  <c r="AA55" s="1"/>
  <c r="Y23"/>
  <c r="AA23" s="1"/>
  <c r="Y42"/>
  <c r="AA42" s="1"/>
  <c r="Y27"/>
  <c r="AA27" s="1"/>
  <c r="AA26" s="1"/>
  <c r="Y38"/>
  <c r="AA38" s="1"/>
  <c r="Y39"/>
  <c r="AA39" s="1"/>
  <c r="Y53"/>
  <c r="AA53" s="1"/>
  <c r="Y37"/>
  <c r="AA37" s="1"/>
  <c r="Y46"/>
  <c r="AA46" s="1"/>
  <c r="Y28"/>
  <c r="AA28" s="1"/>
  <c r="Y30"/>
  <c r="AA30" s="1"/>
  <c r="M11"/>
  <c r="Y41"/>
  <c r="AA41" s="1"/>
  <c r="Y22"/>
  <c r="AA22" s="1"/>
  <c r="Y26"/>
  <c r="Y36"/>
  <c r="Y44"/>
  <c r="Y18"/>
  <c r="Q18"/>
  <c r="O17"/>
  <c r="V18"/>
  <c r="AB17"/>
  <c r="V17" s="1"/>
  <c r="Q17" l="1"/>
  <c r="O15"/>
  <c r="AP52"/>
  <c r="AP15" s="1"/>
  <c r="AQ15" s="1"/>
  <c r="AQ52"/>
  <c r="AA36"/>
  <c r="AA44"/>
  <c r="AP18"/>
  <c r="AP17" s="1"/>
  <c r="AO17"/>
  <c r="AO15" s="1"/>
  <c r="W18"/>
  <c r="T18"/>
  <c r="AA17"/>
  <c r="AA52"/>
  <c r="Y15"/>
  <c r="X17" l="1"/>
  <c r="W17"/>
  <c r="Q15"/>
  <c r="AA15"/>
  <c r="V15" s="1"/>
  <c r="V11" s="1"/>
  <c r="AC13"/>
  <c r="O11"/>
  <c r="O58"/>
  <c r="AC14" l="1"/>
  <c r="Q58"/>
  <c r="Q11"/>
  <c r="X44"/>
  <c r="X36"/>
  <c r="T15"/>
  <c r="X52"/>
  <c r="X15" s="1"/>
  <c r="X26"/>
  <c r="X18"/>
  <c r="V58"/>
  <c r="W12"/>
  <c r="Z11"/>
  <c r="Z13" l="1"/>
  <c r="Z12"/>
  <c r="T11"/>
  <c r="Z63"/>
  <c r="Z64" s="1"/>
  <c r="S82"/>
  <c r="S78"/>
  <c r="T58"/>
  <c r="AO14"/>
  <c r="AQ53" s="1"/>
  <c r="AQ17" s="1"/>
  <c r="AO13"/>
  <c r="Q78"/>
  <c r="Z15" l="1"/>
  <c r="AA12"/>
  <c r="W11"/>
  <c r="Y11"/>
  <c r="AA9"/>
  <c r="AA11"/>
</calcChain>
</file>

<file path=xl/sharedStrings.xml><?xml version="1.0" encoding="utf-8"?>
<sst xmlns="http://schemas.openxmlformats.org/spreadsheetml/2006/main" count="249" uniqueCount="108">
  <si>
    <t>Form P-1</t>
  </si>
  <si>
    <t>No</t>
  </si>
  <si>
    <t>AU/K/S</t>
  </si>
  <si>
    <t>F/N</t>
  </si>
  <si>
    <t>Lokasi</t>
  </si>
  <si>
    <t>Sasaran</t>
  </si>
  <si>
    <t>Pagu</t>
  </si>
  <si>
    <t>Nilai Kontrak/Swakelola</t>
  </si>
  <si>
    <t>Progress Keuangan</t>
  </si>
  <si>
    <t>Jumlah</t>
  </si>
  <si>
    <t>Satuan</t>
  </si>
  <si>
    <t>RPM</t>
  </si>
  <si>
    <t>PHLN</t>
  </si>
  <si>
    <t>Total</t>
  </si>
  <si>
    <t>AU</t>
  </si>
  <si>
    <t>Jumlah Paket Kontrak</t>
  </si>
  <si>
    <t>SWAKELOLA</t>
  </si>
  <si>
    <t>NON FISIK</t>
  </si>
  <si>
    <t>Jumlah Paket Swakelola</t>
  </si>
  <si>
    <t>NK</t>
  </si>
  <si>
    <t>Jumlah Paket Fisik</t>
  </si>
  <si>
    <t>SF</t>
  </si>
  <si>
    <t>NL</t>
  </si>
  <si>
    <t>Jumlah Paket Non Fisik</t>
  </si>
  <si>
    <t>SN</t>
  </si>
  <si>
    <t>NP</t>
  </si>
  <si>
    <t>Keterangan :</t>
  </si>
  <si>
    <t>K</t>
  </si>
  <si>
    <t>S</t>
  </si>
  <si>
    <t>SATMINKAL : DITJEN SUMBER DAYA AIR</t>
  </si>
  <si>
    <t>-</t>
  </si>
  <si>
    <t>Pejabat Pembuat Komitmen</t>
  </si>
  <si>
    <t>Kegiatan/Komponen/Paket Pekerjaan</t>
  </si>
  <si>
    <t>(Ds, Kec, Kab.)</t>
  </si>
  <si>
    <t>(Rp)</t>
  </si>
  <si>
    <t>Progress Fisik (%)</t>
  </si>
  <si>
    <t>Target</t>
  </si>
  <si>
    <t>Real.</t>
  </si>
  <si>
    <t>Target (%)</t>
  </si>
  <si>
    <t>Real. (%)</t>
  </si>
  <si>
    <t>: Administrasi Umum</t>
  </si>
  <si>
    <t>: Kontrak</t>
  </si>
  <si>
    <t>: Swakelola</t>
  </si>
  <si>
    <t>033.06.10</t>
  </si>
  <si>
    <t>Program Pengelolaan Sumber Daya Air</t>
  </si>
  <si>
    <t>5036</t>
  </si>
  <si>
    <t>Pengembangan dan Pengelolaan Jaringan Irigasi, Rawa dan Jaringan Pengairan Lainnya</t>
  </si>
  <si>
    <t>5036.009</t>
  </si>
  <si>
    <t>Jaringan irigasi yang dioperasikan dan dipelihara</t>
  </si>
  <si>
    <t>5036.009.001</t>
  </si>
  <si>
    <t>Tugas Pembantuan Operasi &amp; Pemeliharaan Jaringan Irigasi</t>
  </si>
  <si>
    <t>ADMINISTRASI KEGIATAN</t>
  </si>
  <si>
    <t>OPERASI RUTIN</t>
  </si>
  <si>
    <t>PEMELIHARAAN RUTIN</t>
  </si>
  <si>
    <t>110</t>
  </si>
  <si>
    <t>PEMELIHARAAN BERKALA</t>
  </si>
  <si>
    <t>Bobot</t>
  </si>
  <si>
    <t>Komp</t>
  </si>
  <si>
    <t>DI. SEDADI</t>
  </si>
  <si>
    <t>DI. SIDOREJO</t>
  </si>
  <si>
    <t>DI. DUMPIL</t>
  </si>
  <si>
    <t>DI. WADUK GEMBONG</t>
  </si>
  <si>
    <t>DI. WADUK GUNUNGROWO</t>
  </si>
  <si>
    <t>Kaliwunggu/Kudus</t>
  </si>
  <si>
    <t xml:space="preserve">DI. KLAMBU </t>
  </si>
  <si>
    <t>Grobogan/Pati/Demak/Kudus</t>
  </si>
  <si>
    <t xml:space="preserve">Grobogan </t>
  </si>
  <si>
    <t>Pati</t>
  </si>
  <si>
    <t>DI. KLAMBU</t>
  </si>
  <si>
    <t>Klambu kiri</t>
  </si>
  <si>
    <t>Klambu kn</t>
  </si>
  <si>
    <t>Klambu wil</t>
  </si>
  <si>
    <t>Pembina TK. I</t>
  </si>
  <si>
    <t>Demak</t>
  </si>
  <si>
    <t>DI. KLAMBU KANAN</t>
  </si>
  <si>
    <t>DI. KLAMBU WILALUNG</t>
  </si>
  <si>
    <t>Kudus</t>
  </si>
  <si>
    <t>DI. KLAMBU KIRI</t>
  </si>
  <si>
    <t>Selisih</t>
  </si>
  <si>
    <t>Honor yang terkait dengan operasional Satker</t>
  </si>
  <si>
    <t>DI. GEMBONG</t>
  </si>
  <si>
    <t>DI. GUNUNGROWO</t>
  </si>
  <si>
    <t>TARGET</t>
  </si>
  <si>
    <t>Pkt</t>
  </si>
  <si>
    <t>Non KSO</t>
  </si>
  <si>
    <t>KSO</t>
  </si>
  <si>
    <t xml:space="preserve">REALISASI </t>
  </si>
  <si>
    <t>DAERAH IRIGASI</t>
  </si>
  <si>
    <t>AKNOP</t>
  </si>
  <si>
    <t>%</t>
  </si>
  <si>
    <t>RINCIAN PEKERJAAN PER SATUAN KERJA TAHUN ANGGARAN 2017</t>
  </si>
  <si>
    <t>BPUSDATARU Serang Lusi Juana</t>
  </si>
  <si>
    <t>Ir. RAHMAN WAHYU ADI. K, Sp.1</t>
  </si>
  <si>
    <t>NIP. 196502181199303 1 008</t>
  </si>
  <si>
    <t>BALAI PU SDA TARU : SERANG LUSI JUANA</t>
  </si>
  <si>
    <t>Belanja Bahan</t>
  </si>
  <si>
    <t>Honor Output Kegiatan</t>
  </si>
  <si>
    <t>Belanja perjalanan biasa</t>
  </si>
  <si>
    <t>0 5 8</t>
  </si>
  <si>
    <t>1 2 2</t>
  </si>
  <si>
    <t xml:space="preserve">   0 7 1</t>
  </si>
  <si>
    <t>Keuangan</t>
  </si>
  <si>
    <t>Fisik</t>
  </si>
  <si>
    <t>SKPD TP Dinas PU SDA TARU</t>
  </si>
  <si>
    <t>Provinsi Jawa Tengah</t>
  </si>
  <si>
    <t>PENYUSUNAN</t>
  </si>
  <si>
    <t xml:space="preserve">  30 Juni  2017</t>
  </si>
  <si>
    <t>STATUS : BULAN JUNI 2017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</si>
</sst>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3" formatCode="_(* #,##0.00_);_(* \(#,##0.00\);_(* &quot;-&quot;??_);_(@_)"/>
    <numFmt numFmtId="176" formatCode="_(* #,##0_);_(* \(#,##0\);_(* &quot;-&quot;??_);_(@_)"/>
    <numFmt numFmtId="177" formatCode="_(* #,##0.00_);_(* \(#,##0.00\);_(* &quot;-&quot;_);_(@_)"/>
    <numFmt numFmtId="178" formatCode="0.00_)"/>
    <numFmt numFmtId="179" formatCode="_(* #,##0_);_(* \(#,##0\);_(* &quot;&quot;??_);_(@_)"/>
    <numFmt numFmtId="184" formatCode="_(* #,##0.0000_);_(* \(#,##0.0000\);_(* &quot;-&quot;????_);_(@_)"/>
    <numFmt numFmtId="186" formatCode="_(* #,##0.0000_);_(* \(#,##0.0000\);_(* &quot;-&quot;??_);_(@_)"/>
    <numFmt numFmtId="188" formatCode="_(* #,##0.000_);_(* \(#,##0.000\);_(* &quot;-&quot;_);_(@_)"/>
    <numFmt numFmtId="189" formatCode="_(* #,##0.0000_);_(* \(#,##0.0000\);_(* &quot;-&quot;_);_(@_)"/>
  </numFmts>
  <fonts count="3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sz val="10"/>
      <name val="Arial Narrow"/>
      <family val="2"/>
    </font>
    <font>
      <b/>
      <sz val="14"/>
      <color indexed="9"/>
      <name val="Tahoma"/>
      <family val="2"/>
    </font>
    <font>
      <b/>
      <sz val="12"/>
      <name val="Arial Narrow"/>
      <family val="2"/>
    </font>
    <font>
      <sz val="8"/>
      <color indexed="55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i/>
      <sz val="12"/>
      <name val="Arial Narrow"/>
      <family val="2"/>
    </font>
    <font>
      <b/>
      <u val="double"/>
      <sz val="11"/>
      <name val="Arial Narrow"/>
      <family val="2"/>
    </font>
    <font>
      <sz val="10"/>
      <color indexed="9"/>
      <name val="Arial Narrow"/>
      <family val="2"/>
    </font>
    <font>
      <b/>
      <sz val="10"/>
      <color indexed="9"/>
      <name val="Arial Narrow"/>
      <family val="2"/>
    </font>
    <font>
      <b/>
      <u val="double"/>
      <sz val="11"/>
      <color indexed="9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sz val="10"/>
      <color indexed="10"/>
      <name val="Arial Narrow"/>
      <family val="2"/>
    </font>
    <font>
      <b/>
      <sz val="10"/>
      <color indexed="10"/>
      <name val="Arial Narrow"/>
      <family val="2"/>
    </font>
    <font>
      <b/>
      <u val="double"/>
      <sz val="11"/>
      <color indexed="10"/>
      <name val="Arial Narrow"/>
      <family val="2"/>
    </font>
    <font>
      <sz val="10"/>
      <color indexed="17"/>
      <name val="Arial Narrow"/>
      <family val="2"/>
    </font>
    <font>
      <b/>
      <sz val="10"/>
      <color indexed="17"/>
      <name val="Arial Narrow"/>
      <family val="2"/>
    </font>
    <font>
      <b/>
      <u val="double"/>
      <sz val="11"/>
      <color indexed="17"/>
      <name val="Arial Narrow"/>
      <family val="2"/>
    </font>
    <font>
      <b/>
      <sz val="14"/>
      <name val="Arial Narrow"/>
      <family val="2"/>
    </font>
    <font>
      <sz val="11"/>
      <color theme="1"/>
      <name val="Calibri"/>
      <family val="2"/>
      <charset val="1"/>
      <scheme val="minor"/>
    </font>
    <font>
      <sz val="10"/>
      <color rgb="FFFF0000"/>
      <name val="Arial Narrow"/>
      <family val="2"/>
    </font>
    <font>
      <sz val="10"/>
      <color theme="0"/>
      <name val="Arial Narrow"/>
      <family val="2"/>
    </font>
    <font>
      <sz val="10"/>
      <color rgb="FFFFFF00"/>
      <name val="Arial Narrow"/>
      <family val="2"/>
    </font>
    <font>
      <sz val="10"/>
      <color theme="5" tint="-0.249977111117893"/>
      <name val="Arial Narrow"/>
      <family val="2"/>
    </font>
    <font>
      <sz val="10"/>
      <color theme="1"/>
      <name val="Arial Narrow"/>
      <family val="2"/>
    </font>
    <font>
      <b/>
      <sz val="11"/>
      <color rgb="FFFFFF00"/>
      <name val="Arial Narrow"/>
      <family val="2"/>
    </font>
    <font>
      <b/>
      <sz val="10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38" fontId="2" fillId="2" borderId="0" applyNumberFormat="0" applyBorder="0" applyAlignment="0" applyProtection="0"/>
    <xf numFmtId="10" fontId="2" fillId="3" borderId="1" applyNumberFormat="0" applyBorder="0" applyAlignment="0" applyProtection="0"/>
    <xf numFmtId="178" fontId="3" fillId="0" borderId="0"/>
    <xf numFmtId="0" fontId="26" fillId="0" borderId="0"/>
    <xf numFmtId="0" fontId="26" fillId="0" borderId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9">
    <xf numFmtId="0" fontId="0" fillId="0" borderId="0" xfId="0"/>
    <xf numFmtId="0" fontId="4" fillId="0" borderId="0" xfId="0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41" fontId="4" fillId="0" borderId="0" xfId="2" applyFont="1" applyFill="1" applyAlignment="1">
      <alignment vertical="center"/>
    </xf>
    <xf numFmtId="41" fontId="4" fillId="0" borderId="0" xfId="2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1" fontId="6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 applyProtection="1">
      <alignment vertical="center" wrapText="1"/>
    </xf>
    <xf numFmtId="10" fontId="4" fillId="0" borderId="0" xfId="11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2" xfId="0" applyNumberFormat="1" applyFont="1" applyFill="1" applyBorder="1" applyAlignment="1">
      <alignment horizontal="left" vertical="top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right" vertical="top"/>
    </xf>
    <xf numFmtId="0" fontId="4" fillId="0" borderId="4" xfId="0" applyNumberFormat="1" applyFont="1" applyFill="1" applyBorder="1" applyAlignment="1">
      <alignment horizontal="center" vertical="top"/>
    </xf>
    <xf numFmtId="176" fontId="4" fillId="0" borderId="5" xfId="1" applyNumberFormat="1" applyFont="1" applyFill="1" applyBorder="1" applyAlignment="1">
      <alignment horizontal="right" vertical="top"/>
    </xf>
    <xf numFmtId="176" fontId="4" fillId="0" borderId="6" xfId="1" applyNumberFormat="1" applyFont="1" applyFill="1" applyBorder="1" applyAlignment="1">
      <alignment horizontal="right" vertical="top"/>
    </xf>
    <xf numFmtId="179" fontId="4" fillId="0" borderId="7" xfId="1" applyNumberFormat="1" applyFont="1" applyFill="1" applyBorder="1" applyAlignment="1">
      <alignment horizontal="right" vertical="top"/>
    </xf>
    <xf numFmtId="179" fontId="4" fillId="0" borderId="7" xfId="1" applyNumberFormat="1" applyFont="1" applyFill="1" applyBorder="1" applyAlignment="1">
      <alignment horizontal="center" vertical="top"/>
    </xf>
    <xf numFmtId="176" fontId="4" fillId="0" borderId="8" xfId="1" applyNumberFormat="1" applyFont="1" applyFill="1" applyBorder="1" applyAlignment="1">
      <alignment horizontal="right" vertical="top"/>
    </xf>
    <xf numFmtId="2" fontId="4" fillId="0" borderId="5" xfId="11" applyNumberFormat="1" applyFont="1" applyFill="1" applyBorder="1" applyAlignment="1">
      <alignment horizontal="center" vertical="top"/>
    </xf>
    <xf numFmtId="2" fontId="4" fillId="0" borderId="7" xfId="11" applyNumberFormat="1" applyFont="1" applyFill="1" applyBorder="1" applyAlignment="1">
      <alignment horizontal="center" vertical="top"/>
    </xf>
    <xf numFmtId="2" fontId="4" fillId="0" borderId="9" xfId="11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 wrapText="1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3" fontId="4" fillId="0" borderId="0" xfId="0" applyNumberFormat="1" applyFont="1" applyFill="1" applyAlignment="1">
      <alignment horizontal="right" vertical="center"/>
    </xf>
    <xf numFmtId="177" fontId="4" fillId="0" borderId="0" xfId="2" applyNumberFormat="1" applyFont="1" applyFill="1" applyAlignment="1">
      <alignment vertical="center"/>
    </xf>
    <xf numFmtId="41" fontId="9" fillId="0" borderId="0" xfId="2" applyFont="1" applyFill="1" applyAlignment="1">
      <alignment horizontal="center" vertical="center"/>
    </xf>
    <xf numFmtId="43" fontId="4" fillId="0" borderId="0" xfId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43" fontId="14" fillId="0" borderId="0" xfId="1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41" fontId="11" fillId="0" borderId="11" xfId="0" applyNumberFormat="1" applyFont="1" applyFill="1" applyBorder="1" applyAlignment="1">
      <alignment horizontal="center" vertical="center" wrapText="1"/>
    </xf>
    <xf numFmtId="41" fontId="11" fillId="0" borderId="11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 wrapText="1"/>
    </xf>
    <xf numFmtId="41" fontId="11" fillId="0" borderId="12" xfId="2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2" fontId="11" fillId="0" borderId="12" xfId="11" applyNumberFormat="1" applyFont="1" applyFill="1" applyBorder="1" applyAlignment="1">
      <alignment horizontal="center" vertical="center"/>
    </xf>
    <xf numFmtId="2" fontId="11" fillId="0" borderId="13" xfId="11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8" fillId="0" borderId="15" xfId="0" applyFont="1" applyFill="1" applyBorder="1" applyAlignment="1" applyProtection="1">
      <alignment horizontal="right" vertical="center" wrapText="1"/>
    </xf>
    <xf numFmtId="0" fontId="8" fillId="0" borderId="16" xfId="0" applyFont="1" applyFill="1" applyBorder="1" applyAlignment="1">
      <alignment horizontal="center" vertical="center"/>
    </xf>
    <xf numFmtId="41" fontId="8" fillId="0" borderId="17" xfId="2" applyFont="1" applyFill="1" applyBorder="1" applyAlignment="1">
      <alignment vertical="center"/>
    </xf>
    <xf numFmtId="41" fontId="8" fillId="0" borderId="18" xfId="2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10" fontId="4" fillId="0" borderId="18" xfId="11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8" fillId="0" borderId="20" xfId="0" applyFont="1" applyFill="1" applyBorder="1" applyAlignment="1" applyProtection="1">
      <alignment horizontal="right" vertical="center" wrapText="1"/>
    </xf>
    <xf numFmtId="0" fontId="8" fillId="0" borderId="21" xfId="0" applyFont="1" applyFill="1" applyBorder="1" applyAlignment="1">
      <alignment horizontal="center" vertical="center"/>
    </xf>
    <xf numFmtId="41" fontId="8" fillId="0" borderId="22" xfId="2" applyFont="1" applyFill="1" applyBorder="1" applyAlignment="1">
      <alignment vertical="center"/>
    </xf>
    <xf numFmtId="41" fontId="8" fillId="0" borderId="23" xfId="2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10" fontId="4" fillId="0" borderId="24" xfId="11" applyNumberFormat="1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26" xfId="0" applyFont="1" applyFill="1" applyBorder="1" applyAlignment="1" applyProtection="1">
      <alignment horizontal="right" vertical="center" wrapText="1"/>
    </xf>
    <xf numFmtId="0" fontId="4" fillId="0" borderId="27" xfId="0" applyFont="1" applyFill="1" applyBorder="1" applyAlignment="1">
      <alignment horizontal="center" vertical="center"/>
    </xf>
    <xf numFmtId="10" fontId="4" fillId="0" borderId="23" xfId="11" applyNumberFormat="1" applyFont="1" applyFill="1" applyBorder="1" applyAlignment="1">
      <alignment vertical="center"/>
    </xf>
    <xf numFmtId="0" fontId="8" fillId="0" borderId="28" xfId="0" applyFont="1" applyFill="1" applyBorder="1" applyAlignment="1" applyProtection="1">
      <alignment horizontal="right" vertical="center" wrapText="1"/>
    </xf>
    <xf numFmtId="41" fontId="8" fillId="0" borderId="24" xfId="2" applyFont="1" applyFill="1" applyBorder="1" applyAlignment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41" fontId="8" fillId="0" borderId="31" xfId="2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vertical="center"/>
    </xf>
    <xf numFmtId="0" fontId="8" fillId="0" borderId="32" xfId="0" applyFont="1" applyFill="1" applyBorder="1" applyAlignment="1">
      <alignment horizontal="center" vertical="center"/>
    </xf>
    <xf numFmtId="41" fontId="8" fillId="0" borderId="33" xfId="2" applyFont="1" applyFill="1" applyBorder="1" applyAlignment="1">
      <alignment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41" fontId="8" fillId="0" borderId="36" xfId="2" applyFont="1" applyFill="1" applyBorder="1" applyAlignment="1">
      <alignment horizontal="center" vertical="center"/>
    </xf>
    <xf numFmtId="0" fontId="8" fillId="0" borderId="19" xfId="2" applyNumberFormat="1" applyFont="1" applyFill="1" applyBorder="1" applyAlignment="1">
      <alignment horizontal="center" vertical="center"/>
    </xf>
    <xf numFmtId="41" fontId="8" fillId="0" borderId="27" xfId="2" applyFont="1" applyFill="1" applyBorder="1" applyAlignment="1">
      <alignment horizontal="center" vertical="center"/>
    </xf>
    <xf numFmtId="0" fontId="8" fillId="0" borderId="22" xfId="2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wrapText="1"/>
    </xf>
    <xf numFmtId="3" fontId="8" fillId="0" borderId="37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3" fontId="8" fillId="0" borderId="38" xfId="0" applyNumberFormat="1" applyFont="1" applyFill="1" applyBorder="1" applyAlignment="1">
      <alignment horizontal="center" vertical="center" wrapText="1"/>
    </xf>
    <xf numFmtId="3" fontId="8" fillId="0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41" fontId="8" fillId="0" borderId="17" xfId="2" applyFont="1" applyFill="1" applyBorder="1" applyAlignment="1">
      <alignment horizontal="center" vertical="center"/>
    </xf>
    <xf numFmtId="41" fontId="8" fillId="0" borderId="29" xfId="2" applyFont="1" applyFill="1" applyBorder="1" applyAlignment="1">
      <alignment horizontal="center" vertical="center"/>
    </xf>
    <xf numFmtId="41" fontId="8" fillId="0" borderId="18" xfId="2" applyFont="1" applyFill="1" applyBorder="1" applyAlignment="1">
      <alignment horizontal="center" vertical="center"/>
    </xf>
    <xf numFmtId="0" fontId="0" fillId="0" borderId="39" xfId="0" applyFill="1" applyBorder="1" applyAlignment="1">
      <alignment vertical="center"/>
    </xf>
    <xf numFmtId="41" fontId="8" fillId="0" borderId="40" xfId="2" applyFont="1" applyFill="1" applyBorder="1" applyAlignment="1">
      <alignment horizontal="center" vertical="center"/>
    </xf>
    <xf numFmtId="10" fontId="8" fillId="0" borderId="23" xfId="11" applyNumberFormat="1" applyFont="1" applyFill="1" applyBorder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Fill="1" applyBorder="1" applyAlignment="1">
      <alignment horizontal="center" vertical="center"/>
    </xf>
    <xf numFmtId="0" fontId="8" fillId="0" borderId="34" xfId="2" applyNumberFormat="1" applyFont="1" applyFill="1" applyBorder="1" applyAlignment="1">
      <alignment horizontal="center" vertical="center"/>
    </xf>
    <xf numFmtId="0" fontId="8" fillId="0" borderId="24" xfId="2" applyNumberFormat="1" applyFont="1" applyFill="1" applyBorder="1" applyAlignment="1">
      <alignment horizontal="center" vertical="center"/>
    </xf>
    <xf numFmtId="0" fontId="8" fillId="0" borderId="20" xfId="2" applyNumberFormat="1" applyFont="1" applyFill="1" applyBorder="1" applyAlignment="1">
      <alignment horizontal="center" vertical="center"/>
    </xf>
    <xf numFmtId="0" fontId="8" fillId="0" borderId="35" xfId="2" applyNumberFormat="1" applyFont="1" applyFill="1" applyBorder="1" applyAlignment="1">
      <alignment horizontal="center" vertical="center"/>
    </xf>
    <xf numFmtId="0" fontId="8" fillId="0" borderId="24" xfId="11" applyNumberFormat="1" applyFont="1" applyFill="1" applyBorder="1" applyAlignment="1">
      <alignment horizontal="center" vertical="center"/>
    </xf>
    <xf numFmtId="41" fontId="8" fillId="0" borderId="12" xfId="2" applyFont="1" applyFill="1" applyBorder="1" applyAlignment="1">
      <alignment horizontal="center" vertical="center"/>
    </xf>
    <xf numFmtId="0" fontId="4" fillId="0" borderId="41" xfId="0" quotePrefix="1" applyNumberFormat="1" applyFont="1" applyFill="1" applyBorder="1" applyAlignment="1">
      <alignment horizontal="center" vertical="top"/>
    </xf>
    <xf numFmtId="0" fontId="4" fillId="0" borderId="42" xfId="0" applyNumberFormat="1" applyFont="1" applyFill="1" applyBorder="1" applyAlignment="1">
      <alignment horizontal="left" vertical="top"/>
    </xf>
    <xf numFmtId="0" fontId="11" fillId="0" borderId="43" xfId="0" applyFont="1" applyFill="1" applyBorder="1" applyAlignment="1">
      <alignment vertical="center"/>
    </xf>
    <xf numFmtId="0" fontId="16" fillId="0" borderId="44" xfId="0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0" fontId="17" fillId="0" borderId="4" xfId="0" applyFont="1" applyBorder="1" applyAlignment="1">
      <alignment vertical="top"/>
    </xf>
    <xf numFmtId="0" fontId="17" fillId="0" borderId="44" xfId="0" applyFont="1" applyBorder="1" applyAlignment="1">
      <alignment vertical="top" wrapText="1"/>
    </xf>
    <xf numFmtId="0" fontId="15" fillId="0" borderId="4" xfId="0" applyFont="1" applyBorder="1" applyAlignment="1">
      <alignment vertical="top"/>
    </xf>
    <xf numFmtId="0" fontId="15" fillId="0" borderId="44" xfId="0" applyFont="1" applyBorder="1" applyAlignment="1">
      <alignment vertical="top"/>
    </xf>
    <xf numFmtId="0" fontId="17" fillId="0" borderId="45" xfId="0" applyFont="1" applyBorder="1" applyAlignment="1">
      <alignment vertical="top"/>
    </xf>
    <xf numFmtId="0" fontId="17" fillId="0" borderId="46" xfId="0" applyFont="1" applyBorder="1" applyAlignment="1">
      <alignment vertical="top" wrapText="1"/>
    </xf>
    <xf numFmtId="0" fontId="4" fillId="0" borderId="47" xfId="0" applyNumberFormat="1" applyFont="1" applyFill="1" applyBorder="1" applyAlignment="1">
      <alignment horizontal="center" vertical="top"/>
    </xf>
    <xf numFmtId="0" fontId="4" fillId="0" borderId="48" xfId="0" applyFont="1" applyFill="1" applyBorder="1" applyAlignment="1">
      <alignment horizontal="center" vertical="top"/>
    </xf>
    <xf numFmtId="0" fontId="4" fillId="0" borderId="47" xfId="0" applyFont="1" applyFill="1" applyBorder="1" applyAlignment="1">
      <alignment horizontal="right" vertical="top"/>
    </xf>
    <xf numFmtId="0" fontId="4" fillId="0" borderId="45" xfId="0" applyNumberFormat="1" applyFont="1" applyFill="1" applyBorder="1" applyAlignment="1">
      <alignment horizontal="center" vertical="top"/>
    </xf>
    <xf numFmtId="176" fontId="4" fillId="0" borderId="49" xfId="1" applyNumberFormat="1" applyFont="1" applyFill="1" applyBorder="1" applyAlignment="1">
      <alignment horizontal="right" vertical="top"/>
    </xf>
    <xf numFmtId="176" fontId="4" fillId="0" borderId="50" xfId="1" applyNumberFormat="1" applyFont="1" applyFill="1" applyBorder="1" applyAlignment="1">
      <alignment horizontal="right" vertical="top"/>
    </xf>
    <xf numFmtId="179" fontId="4" fillId="0" borderId="51" xfId="1" applyNumberFormat="1" applyFont="1" applyFill="1" applyBorder="1" applyAlignment="1">
      <alignment horizontal="right" vertical="top"/>
    </xf>
    <xf numFmtId="2" fontId="4" fillId="0" borderId="52" xfId="11" applyNumberFormat="1" applyFont="1" applyFill="1" applyBorder="1" applyAlignment="1">
      <alignment horizontal="center" vertical="top"/>
    </xf>
    <xf numFmtId="2" fontId="4" fillId="0" borderId="51" xfId="11" applyNumberFormat="1" applyFont="1" applyFill="1" applyBorder="1" applyAlignment="1">
      <alignment horizontal="center" vertical="top"/>
    </xf>
    <xf numFmtId="0" fontId="16" fillId="0" borderId="53" xfId="0" applyFont="1" applyBorder="1" applyAlignment="1">
      <alignment vertical="top"/>
    </xf>
    <xf numFmtId="0" fontId="16" fillId="0" borderId="54" xfId="0" applyFont="1" applyBorder="1" applyAlignment="1">
      <alignment vertical="top"/>
    </xf>
    <xf numFmtId="0" fontId="4" fillId="0" borderId="55" xfId="0" applyNumberFormat="1" applyFont="1" applyFill="1" applyBorder="1" applyAlignment="1">
      <alignment horizontal="center" vertical="top"/>
    </xf>
    <xf numFmtId="0" fontId="4" fillId="0" borderId="56" xfId="0" applyFont="1" applyFill="1" applyBorder="1" applyAlignment="1">
      <alignment horizontal="center" vertical="top"/>
    </xf>
    <xf numFmtId="0" fontId="4" fillId="0" borderId="55" xfId="0" applyFont="1" applyFill="1" applyBorder="1" applyAlignment="1">
      <alignment horizontal="right" vertical="top"/>
    </xf>
    <xf numFmtId="0" fontId="4" fillId="0" borderId="53" xfId="0" applyNumberFormat="1" applyFont="1" applyFill="1" applyBorder="1" applyAlignment="1">
      <alignment horizontal="center" vertical="top"/>
    </xf>
    <xf numFmtId="176" fontId="8" fillId="0" borderId="57" xfId="1" applyNumberFormat="1" applyFont="1" applyFill="1" applyBorder="1" applyAlignment="1">
      <alignment horizontal="right" vertical="top"/>
    </xf>
    <xf numFmtId="176" fontId="4" fillId="0" borderId="58" xfId="1" applyNumberFormat="1" applyFont="1" applyFill="1" applyBorder="1" applyAlignment="1">
      <alignment horizontal="right" vertical="top"/>
    </xf>
    <xf numFmtId="179" fontId="8" fillId="0" borderId="59" xfId="1" applyNumberFormat="1" applyFont="1" applyFill="1" applyBorder="1" applyAlignment="1">
      <alignment horizontal="right" vertical="top"/>
    </xf>
    <xf numFmtId="176" fontId="4" fillId="0" borderId="57" xfId="1" applyNumberFormat="1" applyFont="1" applyFill="1" applyBorder="1" applyAlignment="1">
      <alignment horizontal="right" vertical="top"/>
    </xf>
    <xf numFmtId="179" fontId="4" fillId="0" borderId="59" xfId="1" applyNumberFormat="1" applyFont="1" applyFill="1" applyBorder="1" applyAlignment="1">
      <alignment horizontal="center" vertical="top"/>
    </xf>
    <xf numFmtId="2" fontId="4" fillId="0" borderId="57" xfId="11" applyNumberFormat="1" applyFont="1" applyFill="1" applyBorder="1" applyAlignment="1">
      <alignment horizontal="center" vertical="top"/>
    </xf>
    <xf numFmtId="2" fontId="4" fillId="0" borderId="59" xfId="11" applyNumberFormat="1" applyFont="1" applyFill="1" applyBorder="1" applyAlignment="1">
      <alignment horizontal="center" vertical="top"/>
    </xf>
    <xf numFmtId="0" fontId="17" fillId="0" borderId="14" xfId="0" applyFont="1" applyBorder="1" applyAlignment="1">
      <alignment vertical="top"/>
    </xf>
    <xf numFmtId="0" fontId="18" fillId="0" borderId="26" xfId="0" applyFont="1" applyBorder="1" applyAlignment="1">
      <alignment vertical="top"/>
    </xf>
    <xf numFmtId="0" fontId="4" fillId="0" borderId="16" xfId="0" applyNumberFormat="1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right" vertical="top"/>
    </xf>
    <xf numFmtId="0" fontId="4" fillId="0" borderId="14" xfId="0" applyNumberFormat="1" applyFont="1" applyFill="1" applyBorder="1" applyAlignment="1">
      <alignment horizontal="center" vertical="top"/>
    </xf>
    <xf numFmtId="176" fontId="8" fillId="0" borderId="17" xfId="1" applyNumberFormat="1" applyFont="1" applyFill="1" applyBorder="1" applyAlignment="1">
      <alignment horizontal="right" vertical="top"/>
    </xf>
    <xf numFmtId="176" fontId="4" fillId="0" borderId="29" xfId="1" applyNumberFormat="1" applyFont="1" applyFill="1" applyBorder="1" applyAlignment="1">
      <alignment horizontal="right" vertical="top"/>
    </xf>
    <xf numFmtId="179" fontId="8" fillId="0" borderId="18" xfId="1" applyNumberFormat="1" applyFont="1" applyFill="1" applyBorder="1" applyAlignment="1">
      <alignment horizontal="right" vertical="top"/>
    </xf>
    <xf numFmtId="2" fontId="4" fillId="0" borderId="17" xfId="11" applyNumberFormat="1" applyFont="1" applyFill="1" applyBorder="1" applyAlignment="1">
      <alignment horizontal="center" vertical="top"/>
    </xf>
    <xf numFmtId="2" fontId="4" fillId="0" borderId="18" xfId="11" applyNumberFormat="1" applyFont="1" applyFill="1" applyBorder="1" applyAlignment="1">
      <alignment horizontal="center" vertical="top"/>
    </xf>
    <xf numFmtId="0" fontId="17" fillId="0" borderId="60" xfId="0" applyFont="1" applyBorder="1" applyAlignment="1">
      <alignment vertical="top"/>
    </xf>
    <xf numFmtId="0" fontId="18" fillId="0" borderId="61" xfId="0" applyFont="1" applyBorder="1" applyAlignment="1">
      <alignment vertical="top"/>
    </xf>
    <xf numFmtId="0" fontId="4" fillId="0" borderId="62" xfId="0" applyNumberFormat="1" applyFont="1" applyFill="1" applyBorder="1" applyAlignment="1">
      <alignment horizontal="center" vertical="top"/>
    </xf>
    <xf numFmtId="0" fontId="4" fillId="0" borderId="63" xfId="0" applyFont="1" applyFill="1" applyBorder="1" applyAlignment="1">
      <alignment horizontal="center" vertical="top"/>
    </xf>
    <xf numFmtId="0" fontId="4" fillId="0" borderId="62" xfId="0" applyFont="1" applyFill="1" applyBorder="1" applyAlignment="1">
      <alignment horizontal="right" vertical="top"/>
    </xf>
    <xf numFmtId="0" fontId="4" fillId="0" borderId="60" xfId="0" applyNumberFormat="1" applyFont="1" applyFill="1" applyBorder="1" applyAlignment="1">
      <alignment horizontal="center" vertical="top"/>
    </xf>
    <xf numFmtId="176" fontId="8" fillId="0" borderId="64" xfId="1" applyNumberFormat="1" applyFont="1" applyFill="1" applyBorder="1" applyAlignment="1">
      <alignment horizontal="right" vertical="top"/>
    </xf>
    <xf numFmtId="176" fontId="4" fillId="0" borderId="65" xfId="1" applyNumberFormat="1" applyFont="1" applyFill="1" applyBorder="1" applyAlignment="1">
      <alignment horizontal="right" vertical="top"/>
    </xf>
    <xf numFmtId="179" fontId="8" fillId="0" borderId="66" xfId="1" applyNumberFormat="1" applyFont="1" applyFill="1" applyBorder="1" applyAlignment="1">
      <alignment horizontal="right" vertical="top"/>
    </xf>
    <xf numFmtId="2" fontId="4" fillId="0" borderId="64" xfId="11" applyNumberFormat="1" applyFont="1" applyFill="1" applyBorder="1" applyAlignment="1">
      <alignment horizontal="center" vertical="top"/>
    </xf>
    <xf numFmtId="2" fontId="4" fillId="0" borderId="66" xfId="11" applyNumberFormat="1" applyFont="1" applyFill="1" applyBorder="1" applyAlignment="1">
      <alignment horizontal="center" vertical="top"/>
    </xf>
    <xf numFmtId="0" fontId="16" fillId="0" borderId="60" xfId="0" applyFont="1" applyBorder="1" applyAlignment="1">
      <alignment vertical="top"/>
    </xf>
    <xf numFmtId="0" fontId="16" fillId="0" borderId="61" xfId="0" applyFont="1" applyBorder="1" applyAlignment="1">
      <alignment vertical="top"/>
    </xf>
    <xf numFmtId="176" fontId="4" fillId="0" borderId="4" xfId="1" applyNumberFormat="1" applyFont="1" applyFill="1" applyBorder="1" applyAlignment="1">
      <alignment horizontal="right" vertical="top"/>
    </xf>
    <xf numFmtId="176" fontId="4" fillId="0" borderId="53" xfId="1" applyNumberFormat="1" applyFont="1" applyFill="1" applyBorder="1" applyAlignment="1">
      <alignment horizontal="right" vertical="top"/>
    </xf>
    <xf numFmtId="43" fontId="4" fillId="0" borderId="8" xfId="1" applyNumberFormat="1" applyFont="1" applyFill="1" applyBorder="1" applyAlignment="1">
      <alignment horizontal="right" vertical="top"/>
    </xf>
    <xf numFmtId="43" fontId="8" fillId="0" borderId="67" xfId="1" applyNumberFormat="1" applyFont="1" applyFill="1" applyBorder="1" applyAlignment="1">
      <alignment horizontal="right" vertical="top"/>
    </xf>
    <xf numFmtId="43" fontId="4" fillId="0" borderId="68" xfId="1" applyNumberFormat="1" applyFont="1" applyFill="1" applyBorder="1" applyAlignment="1">
      <alignment horizontal="right" vertical="top"/>
    </xf>
    <xf numFmtId="43" fontId="8" fillId="0" borderId="30" xfId="1" applyNumberFormat="1" applyFont="1" applyFill="1" applyBorder="1" applyAlignment="1">
      <alignment horizontal="right" vertical="top"/>
    </xf>
    <xf numFmtId="43" fontId="8" fillId="0" borderId="69" xfId="1" applyNumberFormat="1" applyFont="1" applyFill="1" applyBorder="1" applyAlignment="1">
      <alignment horizontal="right" vertical="top"/>
    </xf>
    <xf numFmtId="41" fontId="8" fillId="0" borderId="30" xfId="2" applyFont="1" applyFill="1" applyBorder="1" applyAlignment="1">
      <alignment vertical="center"/>
    </xf>
    <xf numFmtId="41" fontId="8" fillId="0" borderId="32" xfId="2" applyFont="1" applyFill="1" applyBorder="1" applyAlignment="1">
      <alignment vertical="center"/>
    </xf>
    <xf numFmtId="41" fontId="8" fillId="0" borderId="35" xfId="2" applyFont="1" applyFill="1" applyBorder="1" applyAlignment="1">
      <alignment vertical="center"/>
    </xf>
    <xf numFmtId="41" fontId="4" fillId="0" borderId="18" xfId="2" applyFont="1" applyFill="1" applyBorder="1" applyAlignment="1">
      <alignment vertical="center"/>
    </xf>
    <xf numFmtId="41" fontId="4" fillId="0" borderId="24" xfId="2" applyFont="1" applyFill="1" applyBorder="1" applyAlignment="1">
      <alignment vertical="center"/>
    </xf>
    <xf numFmtId="41" fontId="4" fillId="0" borderId="23" xfId="2" applyFont="1" applyFill="1" applyBorder="1" applyAlignment="1">
      <alignment vertical="center"/>
    </xf>
    <xf numFmtId="41" fontId="4" fillId="0" borderId="13" xfId="2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41" fontId="20" fillId="0" borderId="0" xfId="0" applyNumberFormat="1" applyFont="1" applyFill="1" applyAlignment="1">
      <alignment vertical="center"/>
    </xf>
    <xf numFmtId="41" fontId="20" fillId="0" borderId="0" xfId="2" applyFont="1" applyFill="1" applyAlignment="1">
      <alignment vertical="center"/>
    </xf>
    <xf numFmtId="179" fontId="20" fillId="0" borderId="0" xfId="0" applyNumberFormat="1" applyFont="1" applyFill="1" applyAlignment="1">
      <alignment vertical="center"/>
    </xf>
    <xf numFmtId="2" fontId="20" fillId="0" borderId="0" xfId="0" applyNumberFormat="1" applyFont="1" applyFill="1" applyAlignment="1">
      <alignment vertical="center"/>
    </xf>
    <xf numFmtId="1" fontId="20" fillId="0" borderId="0" xfId="0" applyNumberFormat="1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177" fontId="23" fillId="4" borderId="0" xfId="2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2" fontId="23" fillId="4" borderId="0" xfId="0" applyNumberFormat="1" applyFont="1" applyFill="1" applyAlignment="1">
      <alignment vertical="center"/>
    </xf>
    <xf numFmtId="2" fontId="23" fillId="0" borderId="0" xfId="0" applyNumberFormat="1" applyFont="1" applyFill="1" applyAlignment="1">
      <alignment vertical="center"/>
    </xf>
    <xf numFmtId="2" fontId="24" fillId="4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41" fontId="24" fillId="0" borderId="0" xfId="0" applyNumberFormat="1" applyFont="1" applyFill="1" applyAlignment="1">
      <alignment vertical="center"/>
    </xf>
    <xf numFmtId="176" fontId="22" fillId="0" borderId="0" xfId="0" applyNumberFormat="1" applyFont="1" applyFill="1" applyAlignment="1">
      <alignment vertical="center"/>
    </xf>
    <xf numFmtId="43" fontId="22" fillId="0" borderId="0" xfId="0" applyNumberFormat="1" applyFont="1" applyFill="1" applyAlignment="1">
      <alignment vertical="center"/>
    </xf>
    <xf numFmtId="41" fontId="22" fillId="0" borderId="0" xfId="0" applyNumberFormat="1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2" fontId="20" fillId="4" borderId="0" xfId="0" applyNumberFormat="1" applyFont="1" applyFill="1" applyAlignment="1">
      <alignment vertical="center"/>
    </xf>
    <xf numFmtId="41" fontId="8" fillId="0" borderId="70" xfId="2" applyFont="1" applyFill="1" applyBorder="1" applyAlignment="1">
      <alignment horizontal="center" vertical="center"/>
    </xf>
    <xf numFmtId="43" fontId="4" fillId="0" borderId="5" xfId="1" applyNumberFormat="1" applyFont="1" applyFill="1" applyBorder="1" applyAlignment="1">
      <alignment horizontal="right" vertical="top"/>
    </xf>
    <xf numFmtId="41" fontId="8" fillId="0" borderId="27" xfId="2" applyFont="1" applyFill="1" applyBorder="1" applyAlignment="1">
      <alignment vertical="center"/>
    </xf>
    <xf numFmtId="0" fontId="16" fillId="0" borderId="45" xfId="0" applyFont="1" applyFill="1" applyBorder="1" applyAlignment="1">
      <alignment horizontal="center" vertical="top"/>
    </xf>
    <xf numFmtId="0" fontId="16" fillId="0" borderId="46" xfId="0" applyFont="1" applyFill="1" applyBorder="1" applyAlignment="1">
      <alignment vertical="top"/>
    </xf>
    <xf numFmtId="0" fontId="16" fillId="0" borderId="54" xfId="0" applyFont="1" applyBorder="1" applyAlignment="1">
      <alignment vertical="top" wrapText="1"/>
    </xf>
    <xf numFmtId="0" fontId="16" fillId="0" borderId="71" xfId="0" applyFont="1" applyFill="1" applyBorder="1" applyAlignment="1">
      <alignment vertical="top"/>
    </xf>
    <xf numFmtId="0" fontId="16" fillId="0" borderId="67" xfId="0" applyFont="1" applyBorder="1" applyAlignment="1">
      <alignment horizontal="right" vertical="top"/>
    </xf>
    <xf numFmtId="0" fontId="17" fillId="0" borderId="68" xfId="0" quotePrefix="1" applyFont="1" applyBorder="1" applyAlignment="1">
      <alignment horizontal="right" vertical="top"/>
    </xf>
    <xf numFmtId="0" fontId="17" fillId="0" borderId="8" xfId="0" quotePrefix="1" applyFont="1" applyBorder="1" applyAlignment="1">
      <alignment horizontal="right" vertical="top"/>
    </xf>
    <xf numFmtId="0" fontId="15" fillId="0" borderId="8" xfId="0" applyFont="1" applyBorder="1" applyAlignment="1">
      <alignment horizontal="right" vertical="top"/>
    </xf>
    <xf numFmtId="0" fontId="17" fillId="0" borderId="69" xfId="0" applyFont="1" applyBorder="1" applyAlignment="1">
      <alignment horizontal="right" vertical="top"/>
    </xf>
    <xf numFmtId="0" fontId="16" fillId="0" borderId="69" xfId="0" applyFont="1" applyBorder="1" applyAlignment="1">
      <alignment horizontal="right" vertical="top"/>
    </xf>
    <xf numFmtId="0" fontId="8" fillId="0" borderId="53" xfId="0" quotePrefix="1" applyNumberFormat="1" applyFont="1" applyFill="1" applyBorder="1" applyAlignment="1">
      <alignment horizontal="center" vertical="top"/>
    </xf>
    <xf numFmtId="0" fontId="8" fillId="0" borderId="67" xfId="0" applyNumberFormat="1" applyFont="1" applyFill="1" applyBorder="1" applyAlignment="1">
      <alignment vertical="top"/>
    </xf>
    <xf numFmtId="0" fontId="8" fillId="0" borderId="54" xfId="0" applyNumberFormat="1" applyFont="1" applyFill="1" applyBorder="1" applyAlignment="1">
      <alignment vertical="top"/>
    </xf>
    <xf numFmtId="179" fontId="4" fillId="0" borderId="59" xfId="1" applyNumberFormat="1" applyFont="1" applyFill="1" applyBorder="1" applyAlignment="1">
      <alignment horizontal="right" vertical="top"/>
    </xf>
    <xf numFmtId="43" fontId="4" fillId="0" borderId="67" xfId="1" applyNumberFormat="1" applyFont="1" applyFill="1" applyBorder="1" applyAlignment="1">
      <alignment horizontal="right" vertical="top"/>
    </xf>
    <xf numFmtId="177" fontId="11" fillId="0" borderId="13" xfId="2" applyNumberFormat="1" applyFont="1" applyFill="1" applyBorder="1" applyAlignment="1">
      <alignment vertical="center"/>
    </xf>
    <xf numFmtId="43" fontId="23" fillId="4" borderId="0" xfId="1" applyFont="1" applyFill="1" applyAlignment="1">
      <alignment vertical="center"/>
    </xf>
    <xf numFmtId="43" fontId="20" fillId="0" borderId="0" xfId="1" applyFont="1" applyFill="1" applyAlignment="1">
      <alignment vertical="center"/>
    </xf>
    <xf numFmtId="43" fontId="27" fillId="0" borderId="0" xfId="1" applyFont="1" applyFill="1" applyAlignment="1">
      <alignment vertical="center"/>
    </xf>
    <xf numFmtId="176" fontId="27" fillId="0" borderId="0" xfId="1" applyNumberFormat="1" applyFont="1" applyFill="1" applyAlignment="1">
      <alignment vertical="center"/>
    </xf>
    <xf numFmtId="43" fontId="20" fillId="0" borderId="0" xfId="0" applyNumberFormat="1" applyFont="1" applyFill="1" applyAlignment="1">
      <alignment vertical="center"/>
    </xf>
    <xf numFmtId="184" fontId="21" fillId="0" borderId="0" xfId="0" applyNumberFormat="1" applyFont="1" applyFill="1" applyAlignment="1">
      <alignment vertical="center"/>
    </xf>
    <xf numFmtId="184" fontId="19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28" fillId="0" borderId="0" xfId="1" applyFont="1" applyFill="1" applyAlignment="1">
      <alignment vertical="center"/>
    </xf>
    <xf numFmtId="41" fontId="19" fillId="0" borderId="0" xfId="0" applyNumberFormat="1" applyFont="1" applyFill="1" applyAlignment="1">
      <alignment vertical="center"/>
    </xf>
    <xf numFmtId="43" fontId="4" fillId="0" borderId="53" xfId="1" applyFont="1" applyFill="1" applyBorder="1" applyAlignment="1">
      <alignment horizontal="right" vertical="top"/>
    </xf>
    <xf numFmtId="43" fontId="4" fillId="0" borderId="45" xfId="1" applyFont="1" applyFill="1" applyBorder="1" applyAlignment="1">
      <alignment horizontal="right" vertical="top"/>
    </xf>
    <xf numFmtId="43" fontId="4" fillId="0" borderId="4" xfId="1" applyFont="1" applyFill="1" applyBorder="1" applyAlignment="1">
      <alignment horizontal="right" vertical="top"/>
    </xf>
    <xf numFmtId="43" fontId="4" fillId="0" borderId="14" xfId="1" applyFont="1" applyFill="1" applyBorder="1" applyAlignment="1">
      <alignment horizontal="right" vertical="top"/>
    </xf>
    <xf numFmtId="43" fontId="4" fillId="0" borderId="60" xfId="1" applyFont="1" applyFill="1" applyBorder="1" applyAlignment="1">
      <alignment horizontal="right" vertical="top"/>
    </xf>
    <xf numFmtId="43" fontId="12" fillId="0" borderId="0" xfId="1" applyFont="1" applyFill="1" applyAlignment="1">
      <alignment horizontal="left" vertical="center"/>
    </xf>
    <xf numFmtId="43" fontId="11" fillId="0" borderId="43" xfId="1" applyFont="1" applyFill="1" applyBorder="1" applyAlignment="1">
      <alignment vertical="center"/>
    </xf>
    <xf numFmtId="43" fontId="19" fillId="0" borderId="0" xfId="1" applyFont="1" applyFill="1" applyAlignment="1">
      <alignment vertical="center"/>
    </xf>
    <xf numFmtId="41" fontId="1" fillId="0" borderId="0" xfId="9" applyNumberFormat="1" applyFont="1" applyAlignment="1">
      <alignment horizontal="center" vertical="center"/>
    </xf>
    <xf numFmtId="176" fontId="4" fillId="6" borderId="5" xfId="1" applyNumberFormat="1" applyFont="1" applyFill="1" applyBorder="1" applyAlignment="1">
      <alignment horizontal="right" vertical="top"/>
    </xf>
    <xf numFmtId="43" fontId="29" fillId="0" borderId="0" xfId="1" applyFont="1" applyFill="1" applyAlignment="1">
      <alignment vertical="center"/>
    </xf>
    <xf numFmtId="176" fontId="12" fillId="0" borderId="0" xfId="1" applyNumberFormat="1" applyFont="1" applyFill="1" applyAlignment="1">
      <alignment vertical="center"/>
    </xf>
    <xf numFmtId="176" fontId="12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43" fontId="30" fillId="0" borderId="0" xfId="1" applyFont="1" applyFill="1" applyAlignment="1">
      <alignment vertical="center"/>
    </xf>
    <xf numFmtId="177" fontId="4" fillId="0" borderId="8" xfId="2" applyNumberFormat="1" applyFont="1" applyFill="1" applyBorder="1" applyAlignment="1">
      <alignment horizontal="right" vertical="top"/>
    </xf>
    <xf numFmtId="177" fontId="4" fillId="0" borderId="4" xfId="2" applyNumberFormat="1" applyFont="1" applyFill="1" applyBorder="1" applyAlignment="1">
      <alignment horizontal="right" vertical="top"/>
    </xf>
    <xf numFmtId="177" fontId="4" fillId="0" borderId="45" xfId="2" applyNumberFormat="1" applyFont="1" applyFill="1" applyBorder="1" applyAlignment="1">
      <alignment horizontal="right" vertical="top"/>
    </xf>
    <xf numFmtId="43" fontId="23" fillId="0" borderId="0" xfId="0" applyNumberFormat="1" applyFont="1" applyFill="1" applyAlignment="1">
      <alignment vertical="center"/>
    </xf>
    <xf numFmtId="186" fontId="20" fillId="0" borderId="0" xfId="0" applyNumberFormat="1" applyFont="1" applyFill="1" applyAlignment="1">
      <alignment vertical="center"/>
    </xf>
    <xf numFmtId="41" fontId="23" fillId="4" borderId="0" xfId="2" applyFont="1" applyFill="1" applyAlignment="1">
      <alignment vertical="center"/>
    </xf>
    <xf numFmtId="43" fontId="23" fillId="4" borderId="0" xfId="0" applyNumberFormat="1" applyFont="1" applyFill="1" applyAlignment="1">
      <alignment vertical="center"/>
    </xf>
    <xf numFmtId="177" fontId="23" fillId="0" borderId="0" xfId="2" applyNumberFormat="1" applyFont="1" applyFill="1" applyAlignment="1">
      <alignment vertical="center"/>
    </xf>
    <xf numFmtId="41" fontId="12" fillId="0" borderId="0" xfId="2" applyFont="1" applyFill="1" applyAlignment="1">
      <alignment vertical="center"/>
    </xf>
    <xf numFmtId="188" fontId="4" fillId="0" borderId="0" xfId="2" applyNumberFormat="1" applyFont="1" applyFill="1" applyAlignment="1">
      <alignment vertical="center"/>
    </xf>
    <xf numFmtId="176" fontId="4" fillId="0" borderId="67" xfId="1" applyNumberFormat="1" applyFont="1" applyFill="1" applyBorder="1" applyAlignment="1">
      <alignment horizontal="right" vertical="top"/>
    </xf>
    <xf numFmtId="176" fontId="8" fillId="0" borderId="59" xfId="1" applyNumberFormat="1" applyFont="1" applyFill="1" applyBorder="1" applyAlignment="1">
      <alignment horizontal="right" vertical="top"/>
    </xf>
    <xf numFmtId="177" fontId="4" fillId="0" borderId="45" xfId="2" applyNumberFormat="1" applyFont="1" applyFill="1" applyBorder="1" applyAlignment="1">
      <alignment horizontal="center" vertical="top"/>
    </xf>
    <xf numFmtId="177" fontId="4" fillId="0" borderId="4" xfId="2" applyNumberFormat="1" applyFont="1" applyFill="1" applyBorder="1" applyAlignment="1">
      <alignment horizontal="center" vertical="top"/>
    </xf>
    <xf numFmtId="49" fontId="16" fillId="0" borderId="67" xfId="0" applyNumberFormat="1" applyFont="1" applyBorder="1" applyAlignment="1">
      <alignment horizontal="right" vertical="top"/>
    </xf>
    <xf numFmtId="177" fontId="4" fillId="0" borderId="52" xfId="2" applyNumberFormat="1" applyFont="1" applyFill="1" applyBorder="1" applyAlignment="1">
      <alignment horizontal="center" vertical="top"/>
    </xf>
    <xf numFmtId="177" fontId="4" fillId="0" borderId="9" xfId="2" applyNumberFormat="1" applyFont="1" applyFill="1" applyBorder="1" applyAlignment="1">
      <alignment horizontal="center" vertical="top"/>
    </xf>
    <xf numFmtId="179" fontId="4" fillId="0" borderId="0" xfId="0" applyNumberFormat="1" applyFont="1" applyFill="1" applyAlignment="1">
      <alignment vertical="center"/>
    </xf>
    <xf numFmtId="189" fontId="4" fillId="0" borderId="0" xfId="2" applyNumberFormat="1" applyFont="1" applyFill="1" applyAlignment="1">
      <alignment vertical="center"/>
    </xf>
    <xf numFmtId="184" fontId="4" fillId="0" borderId="0" xfId="0" applyNumberFormat="1" applyFont="1" applyFill="1" applyAlignment="1">
      <alignment vertical="center"/>
    </xf>
    <xf numFmtId="41" fontId="31" fillId="0" borderId="72" xfId="10" applyNumberFormat="1" applyFont="1" applyBorder="1"/>
    <xf numFmtId="41" fontId="31" fillId="0" borderId="6" xfId="4" applyFont="1" applyBorder="1"/>
    <xf numFmtId="41" fontId="5" fillId="5" borderId="0" xfId="0" applyNumberFormat="1" applyFont="1" applyFill="1" applyAlignment="1">
      <alignment horizontal="center" vertical="center"/>
    </xf>
    <xf numFmtId="41" fontId="6" fillId="0" borderId="0" xfId="0" applyNumberFormat="1" applyFont="1" applyFill="1" applyAlignment="1">
      <alignment horizontal="center" vertical="center"/>
    </xf>
    <xf numFmtId="41" fontId="8" fillId="0" borderId="0" xfId="2" applyFont="1" applyFill="1" applyBorder="1" applyAlignment="1">
      <alignment horizontal="center" vertical="center"/>
    </xf>
    <xf numFmtId="10" fontId="8" fillId="0" borderId="0" xfId="11" applyNumberFormat="1" applyFont="1" applyFill="1" applyBorder="1" applyAlignment="1">
      <alignment horizontal="center" vertical="center"/>
    </xf>
    <xf numFmtId="0" fontId="8" fillId="0" borderId="0" xfId="11" applyNumberFormat="1" applyFont="1" applyFill="1" applyBorder="1" applyAlignment="1">
      <alignment horizontal="center" vertical="center"/>
    </xf>
    <xf numFmtId="2" fontId="4" fillId="0" borderId="0" xfId="11" applyNumberFormat="1" applyFont="1" applyFill="1" applyBorder="1" applyAlignment="1">
      <alignment horizontal="center" vertical="top"/>
    </xf>
    <xf numFmtId="2" fontId="11" fillId="0" borderId="0" xfId="11" applyNumberFormat="1" applyFont="1" applyFill="1" applyBorder="1" applyAlignment="1">
      <alignment horizontal="center" vertical="center"/>
    </xf>
    <xf numFmtId="10" fontId="4" fillId="0" borderId="0" xfId="11" applyNumberFormat="1" applyFont="1" applyFill="1" applyBorder="1" applyAlignment="1">
      <alignment vertical="center"/>
    </xf>
    <xf numFmtId="0" fontId="0" fillId="0" borderId="6" xfId="0" applyBorder="1"/>
    <xf numFmtId="0" fontId="0" fillId="0" borderId="65" xfId="0" applyBorder="1"/>
    <xf numFmtId="0" fontId="0" fillId="0" borderId="50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8" xfId="0" applyBorder="1"/>
    <xf numFmtId="0" fontId="0" fillId="0" borderId="8" xfId="0" applyBorder="1"/>
    <xf numFmtId="0" fontId="0" fillId="0" borderId="69" xfId="0" applyBorder="1"/>
    <xf numFmtId="0" fontId="0" fillId="0" borderId="73" xfId="0" applyBorder="1" applyAlignment="1">
      <alignment horizontal="center"/>
    </xf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32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65" xfId="0" applyBorder="1" applyAlignment="1">
      <alignment horizontal="left" indent="1"/>
    </xf>
    <xf numFmtId="0" fontId="1" fillId="0" borderId="0" xfId="0" applyFont="1"/>
    <xf numFmtId="41" fontId="0" fillId="0" borderId="0" xfId="2" applyFont="1" applyAlignment="1">
      <alignment horizontal="center"/>
    </xf>
    <xf numFmtId="177" fontId="0" fillId="0" borderId="0" xfId="2" applyNumberFormat="1" applyFont="1"/>
    <xf numFmtId="188" fontId="0" fillId="0" borderId="0" xfId="2" applyNumberFormat="1" applyFont="1"/>
    <xf numFmtId="43" fontId="4" fillId="0" borderId="53" xfId="1" applyNumberFormat="1" applyFont="1" applyFill="1" applyBorder="1" applyAlignment="1">
      <alignment horizontal="right" vertical="top"/>
    </xf>
    <xf numFmtId="41" fontId="5" fillId="5" borderId="0" xfId="2" applyFont="1" applyFill="1" applyAlignment="1">
      <alignment horizontal="center" vertical="center"/>
    </xf>
    <xf numFmtId="41" fontId="6" fillId="0" borderId="0" xfId="2" applyFont="1" applyFill="1" applyAlignment="1">
      <alignment horizontal="center" vertical="center"/>
    </xf>
    <xf numFmtId="41" fontId="10" fillId="0" borderId="0" xfId="2" applyFont="1" applyFill="1" applyAlignment="1">
      <alignment horizontal="right" vertical="center"/>
    </xf>
    <xf numFmtId="41" fontId="4" fillId="0" borderId="0" xfId="2" applyFont="1" applyFill="1" applyBorder="1" applyAlignment="1">
      <alignment horizontal="center" vertical="top"/>
    </xf>
    <xf numFmtId="41" fontId="11" fillId="0" borderId="0" xfId="2" applyFont="1" applyFill="1" applyBorder="1" applyAlignment="1">
      <alignment horizontal="center" vertical="center"/>
    </xf>
    <xf numFmtId="41" fontId="4" fillId="0" borderId="0" xfId="2" applyFont="1" applyFill="1" applyBorder="1" applyAlignment="1">
      <alignment vertical="center"/>
    </xf>
    <xf numFmtId="177" fontId="4" fillId="0" borderId="5" xfId="2" applyNumberFormat="1" applyFont="1" applyFill="1" applyBorder="1" applyAlignment="1">
      <alignment horizontal="right" vertical="top"/>
    </xf>
    <xf numFmtId="177" fontId="4" fillId="0" borderId="77" xfId="2" applyNumberFormat="1" applyFont="1" applyFill="1" applyBorder="1" applyAlignment="1">
      <alignment horizontal="center" vertical="top"/>
    </xf>
    <xf numFmtId="0" fontId="17" fillId="0" borderId="8" xfId="0" applyFont="1" applyBorder="1" applyAlignment="1">
      <alignment horizontal="right" vertical="top"/>
    </xf>
    <xf numFmtId="41" fontId="4" fillId="0" borderId="78" xfId="2" applyNumberFormat="1" applyFont="1" applyFill="1" applyBorder="1" applyAlignment="1">
      <alignment horizontal="right" vertical="top"/>
    </xf>
    <xf numFmtId="0" fontId="32" fillId="0" borderId="4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/>
    </xf>
    <xf numFmtId="177" fontId="4" fillId="0" borderId="0" xfId="2" applyNumberFormat="1" applyFont="1" applyFill="1" applyBorder="1" applyAlignment="1">
      <alignment horizontal="center" vertical="top"/>
    </xf>
    <xf numFmtId="0" fontId="15" fillId="0" borderId="77" xfId="0" applyFont="1" applyBorder="1" applyAlignment="1">
      <alignment vertical="top"/>
    </xf>
    <xf numFmtId="0" fontId="15" fillId="0" borderId="79" xfId="0" applyFont="1" applyBorder="1" applyAlignment="1">
      <alignment horizontal="right" vertical="top"/>
    </xf>
    <xf numFmtId="0" fontId="15" fillId="0" borderId="80" xfId="0" applyFont="1" applyBorder="1" applyAlignment="1">
      <alignment vertical="top"/>
    </xf>
    <xf numFmtId="0" fontId="4" fillId="0" borderId="81" xfId="0" applyNumberFormat="1" applyFont="1" applyFill="1" applyBorder="1" applyAlignment="1">
      <alignment horizontal="center" vertical="top"/>
    </xf>
    <xf numFmtId="0" fontId="4" fillId="0" borderId="82" xfId="0" applyFont="1" applyFill="1" applyBorder="1" applyAlignment="1">
      <alignment horizontal="center" vertical="top"/>
    </xf>
    <xf numFmtId="0" fontId="4" fillId="0" borderId="81" xfId="0" applyFont="1" applyFill="1" applyBorder="1" applyAlignment="1">
      <alignment horizontal="right" vertical="top"/>
    </xf>
    <xf numFmtId="0" fontId="4" fillId="0" borderId="77" xfId="0" applyNumberFormat="1" applyFont="1" applyFill="1" applyBorder="1" applyAlignment="1">
      <alignment horizontal="center" vertical="top"/>
    </xf>
    <xf numFmtId="176" fontId="4" fillId="0" borderId="9" xfId="1" applyNumberFormat="1" applyFont="1" applyFill="1" applyBorder="1" applyAlignment="1">
      <alignment horizontal="right" vertical="top"/>
    </xf>
    <xf numFmtId="176" fontId="4" fillId="0" borderId="83" xfId="1" applyNumberFormat="1" applyFont="1" applyFill="1" applyBorder="1" applyAlignment="1">
      <alignment horizontal="right" vertical="top"/>
    </xf>
    <xf numFmtId="179" fontId="4" fillId="0" borderId="84" xfId="1" applyNumberFormat="1" applyFont="1" applyFill="1" applyBorder="1" applyAlignment="1">
      <alignment horizontal="right" vertical="top"/>
    </xf>
    <xf numFmtId="43" fontId="4" fillId="0" borderId="77" xfId="1" applyFont="1" applyFill="1" applyBorder="1" applyAlignment="1">
      <alignment horizontal="right" vertical="top"/>
    </xf>
    <xf numFmtId="43" fontId="4" fillId="0" borderId="79" xfId="1" applyNumberFormat="1" applyFont="1" applyFill="1" applyBorder="1" applyAlignment="1">
      <alignment horizontal="right" vertical="top"/>
    </xf>
    <xf numFmtId="2" fontId="4" fillId="0" borderId="84" xfId="11" applyNumberFormat="1" applyFont="1" applyFill="1" applyBorder="1" applyAlignment="1">
      <alignment horizontal="center" vertical="top"/>
    </xf>
    <xf numFmtId="176" fontId="33" fillId="0" borderId="57" xfId="1" applyNumberFormat="1" applyFont="1" applyFill="1" applyBorder="1" applyAlignment="1">
      <alignment horizontal="right" vertical="top"/>
    </xf>
    <xf numFmtId="176" fontId="28" fillId="0" borderId="58" xfId="1" applyNumberFormat="1" applyFont="1" applyFill="1" applyBorder="1" applyAlignment="1">
      <alignment horizontal="right" vertical="top"/>
    </xf>
    <xf numFmtId="179" fontId="33" fillId="0" borderId="59" xfId="1" applyNumberFormat="1" applyFont="1" applyFill="1" applyBorder="1" applyAlignment="1">
      <alignment horizontal="right" vertical="top"/>
    </xf>
    <xf numFmtId="0" fontId="28" fillId="0" borderId="55" xfId="0" applyNumberFormat="1" applyFont="1" applyFill="1" applyBorder="1" applyAlignment="1">
      <alignment horizontal="center" vertical="top"/>
    </xf>
    <xf numFmtId="177" fontId="28" fillId="0" borderId="53" xfId="2" applyNumberFormat="1" applyFont="1" applyFill="1" applyBorder="1" applyAlignment="1">
      <alignment horizontal="right" vertical="top"/>
    </xf>
    <xf numFmtId="43" fontId="33" fillId="0" borderId="67" xfId="1" applyNumberFormat="1" applyFont="1" applyFill="1" applyBorder="1" applyAlignment="1">
      <alignment horizontal="right" vertical="top"/>
    </xf>
    <xf numFmtId="2" fontId="28" fillId="0" borderId="57" xfId="11" applyNumberFormat="1" applyFont="1" applyFill="1" applyBorder="1" applyAlignment="1">
      <alignment horizontal="center" vertical="top"/>
    </xf>
    <xf numFmtId="2" fontId="28" fillId="0" borderId="59" xfId="11" applyNumberFormat="1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/>
    </xf>
    <xf numFmtId="3" fontId="8" fillId="0" borderId="43" xfId="0" applyNumberFormat="1" applyFont="1" applyFill="1" applyBorder="1" applyAlignment="1">
      <alignment horizontal="center" vertical="center"/>
    </xf>
    <xf numFmtId="3" fontId="8" fillId="0" borderId="85" xfId="0" applyNumberFormat="1" applyFont="1" applyFill="1" applyBorder="1" applyAlignment="1">
      <alignment horizontal="center" vertical="center"/>
    </xf>
    <xf numFmtId="41" fontId="8" fillId="0" borderId="12" xfId="2" applyFont="1" applyFill="1" applyBorder="1" applyAlignment="1">
      <alignment horizontal="center" vertical="center"/>
    </xf>
    <xf numFmtId="41" fontId="8" fillId="0" borderId="13" xfId="2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1" fontId="8" fillId="0" borderId="43" xfId="2" applyFont="1" applyFill="1" applyBorder="1" applyAlignment="1">
      <alignment horizontal="center" vertical="center"/>
    </xf>
    <xf numFmtId="41" fontId="8" fillId="0" borderId="10" xfId="2" applyFont="1" applyFill="1" applyBorder="1" applyAlignment="1">
      <alignment horizontal="center" vertical="center"/>
    </xf>
    <xf numFmtId="41" fontId="8" fillId="0" borderId="86" xfId="2" applyFont="1" applyFill="1" applyBorder="1" applyAlignment="1">
      <alignment horizontal="center" vertical="center"/>
    </xf>
    <xf numFmtId="41" fontId="8" fillId="0" borderId="87" xfId="2" applyFont="1" applyFill="1" applyBorder="1" applyAlignment="1">
      <alignment horizontal="center" vertical="center"/>
    </xf>
    <xf numFmtId="0" fontId="8" fillId="0" borderId="88" xfId="0" applyNumberFormat="1" applyFont="1" applyFill="1" applyBorder="1" applyAlignment="1">
      <alignment horizontal="center" vertical="center"/>
    </xf>
    <xf numFmtId="0" fontId="8" fillId="0" borderId="35" xfId="0" applyNumberFormat="1" applyFont="1" applyFill="1" applyBorder="1" applyAlignment="1">
      <alignment horizontal="center" vertical="center"/>
    </xf>
    <xf numFmtId="3" fontId="8" fillId="0" borderId="89" xfId="0" applyNumberFormat="1" applyFont="1" applyFill="1" applyBorder="1" applyAlignment="1">
      <alignment horizontal="center" vertical="center"/>
    </xf>
    <xf numFmtId="3" fontId="8" fillId="0" borderId="36" xfId="0" applyNumberFormat="1" applyFont="1" applyFill="1" applyBorder="1" applyAlignment="1">
      <alignment horizontal="center" vertical="center"/>
    </xf>
    <xf numFmtId="3" fontId="8" fillId="0" borderId="90" xfId="0" applyNumberFormat="1" applyFont="1" applyFill="1" applyBorder="1" applyAlignment="1">
      <alignment horizontal="center" vertical="center"/>
    </xf>
    <xf numFmtId="3" fontId="8" fillId="0" borderId="91" xfId="0" applyNumberFormat="1" applyFont="1" applyFill="1" applyBorder="1" applyAlignment="1">
      <alignment horizontal="center" vertical="center"/>
    </xf>
    <xf numFmtId="41" fontId="8" fillId="0" borderId="85" xfId="2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32" fillId="0" borderId="53" xfId="0" applyFont="1" applyBorder="1" applyAlignment="1">
      <alignment horizontal="left" vertical="top"/>
    </xf>
    <xf numFmtId="0" fontId="32" fillId="0" borderId="56" xfId="0" applyFont="1" applyBorder="1" applyAlignment="1">
      <alignment horizontal="left" vertical="top"/>
    </xf>
    <xf numFmtId="41" fontId="5" fillId="5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1" fontId="6" fillId="0" borderId="0" xfId="0" applyNumberFormat="1" applyFont="1" applyFill="1" applyAlignment="1">
      <alignment horizontal="center" vertical="center"/>
    </xf>
    <xf numFmtId="41" fontId="0" fillId="0" borderId="0" xfId="2" applyFont="1" applyAlignment="1">
      <alignment horizontal="center"/>
    </xf>
    <xf numFmtId="0" fontId="1" fillId="0" borderId="92" xfId="0" applyFont="1" applyBorder="1" applyAlignment="1">
      <alignment horizontal="center"/>
    </xf>
    <xf numFmtId="0" fontId="0" fillId="0" borderId="92" xfId="0" applyBorder="1" applyAlignment="1">
      <alignment horizontal="center"/>
    </xf>
    <xf numFmtId="0" fontId="1" fillId="0" borderId="92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7" fontId="0" fillId="0" borderId="0" xfId="2" applyNumberFormat="1" applyFont="1" applyAlignment="1">
      <alignment horizontal="center"/>
    </xf>
  </cellXfs>
  <cellStyles count="14">
    <cellStyle name="Comma" xfId="1" builtinId="3"/>
    <cellStyle name="Comma [0]" xfId="2" builtinId="6"/>
    <cellStyle name="Comma [0] 2" xfId="3"/>
    <cellStyle name="Comma [0] 4" xfId="4"/>
    <cellStyle name="Comma 2" xfId="5"/>
    <cellStyle name="Grey" xfId="6"/>
    <cellStyle name="Input [yellow]" xfId="7"/>
    <cellStyle name="Normal" xfId="0" builtinId="0"/>
    <cellStyle name="Normal - Style1" xfId="8"/>
    <cellStyle name="Normal 2" xfId="9"/>
    <cellStyle name="Normal 3" xfId="10"/>
    <cellStyle name="Percent" xfId="11" builtinId="5"/>
    <cellStyle name="Percent [2]" xfId="12"/>
    <cellStyle name="Percent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1"/>
  <dimension ref="B1:AQ84"/>
  <sheetViews>
    <sheetView tabSelected="1" view="pageBreakPreview" topLeftCell="A6" zoomScaleSheetLayoutView="100" workbookViewId="0">
      <pane xSplit="6705" ySplit="2175" topLeftCell="I21" activePane="bottomRight"/>
      <selection activeCell="S37" sqref="S37"/>
      <selection pane="topRight" activeCell="U11" sqref="U11"/>
      <selection pane="bottomLeft" activeCell="D20" sqref="D20"/>
      <selection pane="bottomRight" activeCell="K28" sqref="K28"/>
    </sheetView>
  </sheetViews>
  <sheetFormatPr defaultRowHeight="12.75"/>
  <cols>
    <col min="1" max="1" width="1.7109375" style="1" customWidth="1"/>
    <col min="2" max="2" width="5" style="1" customWidth="1"/>
    <col min="3" max="3" width="7" style="1" customWidth="1"/>
    <col min="4" max="4" width="46.42578125" style="27" customWidth="1"/>
    <col min="5" max="5" width="6" style="1" hidden="1" customWidth="1"/>
    <col min="6" max="6" width="6.7109375" style="1" customWidth="1"/>
    <col min="7" max="7" width="4.7109375" style="1" customWidth="1"/>
    <col min="8" max="8" width="14.42578125" style="3" customWidth="1"/>
    <col min="9" max="9" width="7.7109375" style="3" customWidth="1"/>
    <col min="10" max="10" width="6.42578125" style="1" customWidth="1"/>
    <col min="11" max="11" width="14.7109375" style="4" bestFit="1" customWidth="1"/>
    <col min="12" max="12" width="8.85546875" style="5" customWidth="1"/>
    <col min="13" max="13" width="14.42578125" style="4" customWidth="1"/>
    <col min="14" max="14" width="6.140625" style="4" hidden="1" customWidth="1"/>
    <col min="15" max="15" width="14.7109375" style="4" bestFit="1" customWidth="1"/>
    <col min="16" max="16" width="6.42578125" style="4" customWidth="1"/>
    <col min="17" max="17" width="14.7109375" style="4" bestFit="1" customWidth="1"/>
    <col min="18" max="18" width="8.42578125" style="4" customWidth="1"/>
    <col min="19" max="19" width="14.5703125" style="4" bestFit="1" customWidth="1"/>
    <col min="20" max="20" width="8.28515625" style="4" customWidth="1"/>
    <col min="21" max="21" width="8.28515625" style="4" bestFit="1" customWidth="1"/>
    <col min="22" max="22" width="6.7109375" style="11" customWidth="1"/>
    <col min="23" max="23" width="12.85546875" style="4" bestFit="1" customWidth="1"/>
    <col min="24" max="24" width="8" style="11" bestFit="1" customWidth="1"/>
    <col min="25" max="25" width="5.7109375" style="194" bestFit="1" customWidth="1"/>
    <col min="26" max="26" width="18.140625" style="180" bestFit="1" customWidth="1"/>
    <col min="27" max="27" width="12.7109375" style="187" bestFit="1" customWidth="1"/>
    <col min="28" max="28" width="6" style="199" bestFit="1" customWidth="1"/>
    <col min="29" max="29" width="16" style="1" bestFit="1" customWidth="1"/>
    <col min="30" max="30" width="9.140625" style="1"/>
    <col min="31" max="31" width="14.5703125" style="35" bestFit="1" customWidth="1"/>
    <col min="32" max="33" width="14.5703125" style="1" bestFit="1" customWidth="1"/>
    <col min="34" max="34" width="14.85546875" style="1" customWidth="1"/>
    <col min="35" max="35" width="12.28515625" style="1" bestFit="1" customWidth="1"/>
    <col min="36" max="37" width="11.140625" style="1" bestFit="1" customWidth="1"/>
    <col min="38" max="38" width="12.28515625" style="1" bestFit="1" customWidth="1"/>
    <col min="39" max="39" width="11.28515625" style="1" bestFit="1" customWidth="1"/>
    <col min="40" max="40" width="10" style="1" bestFit="1" customWidth="1"/>
    <col min="41" max="41" width="12" style="1" bestFit="1" customWidth="1"/>
    <col min="42" max="42" width="9.140625" style="1"/>
    <col min="43" max="43" width="12" style="1" bestFit="1" customWidth="1"/>
    <col min="44" max="16384" width="9.140625" style="1"/>
  </cols>
  <sheetData>
    <row r="1" spans="2:43" ht="15.75" customHeight="1">
      <c r="D1" s="2"/>
      <c r="U1" s="360" t="s">
        <v>0</v>
      </c>
      <c r="V1" s="360"/>
      <c r="W1" s="300"/>
      <c r="X1" s="271"/>
    </row>
    <row r="2" spans="2:43" ht="15.75">
      <c r="B2" s="361" t="s">
        <v>90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01"/>
      <c r="X2" s="6"/>
    </row>
    <row r="3" spans="2:43" ht="15.75">
      <c r="B3" s="362" t="s">
        <v>29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01"/>
      <c r="X3" s="6"/>
    </row>
    <row r="4" spans="2:43" ht="15.75">
      <c r="B4" s="362" t="s">
        <v>107</v>
      </c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01"/>
      <c r="X4" s="272"/>
    </row>
    <row r="5" spans="2:43" ht="15.75">
      <c r="B5" s="7" t="s">
        <v>94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8"/>
      <c r="W5" s="302"/>
      <c r="X5" s="8"/>
    </row>
    <row r="6" spans="2:43" ht="5.25" customHeight="1" thickBot="1">
      <c r="C6" s="9"/>
      <c r="D6" s="10"/>
    </row>
    <row r="7" spans="2:43" ht="14.25" customHeight="1" thickBot="1">
      <c r="B7" s="341" t="s">
        <v>1</v>
      </c>
      <c r="C7" s="356" t="s">
        <v>32</v>
      </c>
      <c r="D7" s="356"/>
      <c r="E7" s="88"/>
      <c r="F7" s="341" t="s">
        <v>2</v>
      </c>
      <c r="G7" s="354" t="s">
        <v>3</v>
      </c>
      <c r="H7" s="89" t="s">
        <v>4</v>
      </c>
      <c r="I7" s="337" t="s">
        <v>5</v>
      </c>
      <c r="J7" s="338"/>
      <c r="K7" s="339" t="s">
        <v>6</v>
      </c>
      <c r="L7" s="345"/>
      <c r="M7" s="340"/>
      <c r="N7" s="84"/>
      <c r="O7" s="343" t="s">
        <v>7</v>
      </c>
      <c r="P7" s="344"/>
      <c r="Q7" s="353"/>
      <c r="R7" s="343" t="s">
        <v>8</v>
      </c>
      <c r="S7" s="344"/>
      <c r="T7" s="344"/>
      <c r="U7" s="339" t="s">
        <v>35</v>
      </c>
      <c r="V7" s="340"/>
      <c r="W7" s="273"/>
      <c r="X7" s="273"/>
      <c r="AC7" s="36"/>
      <c r="AD7" s="36"/>
      <c r="AE7" s="38"/>
      <c r="AF7" s="36"/>
      <c r="AG7" s="36"/>
      <c r="AH7" s="36"/>
      <c r="AI7" s="36"/>
    </row>
    <row r="8" spans="2:43" s="12" customFormat="1" ht="18.75" customHeight="1">
      <c r="B8" s="342"/>
      <c r="C8" s="357"/>
      <c r="D8" s="357"/>
      <c r="E8" s="90"/>
      <c r="F8" s="342"/>
      <c r="G8" s="355"/>
      <c r="H8" s="91" t="s">
        <v>33</v>
      </c>
      <c r="I8" s="92" t="s">
        <v>9</v>
      </c>
      <c r="J8" s="93" t="s">
        <v>10</v>
      </c>
      <c r="K8" s="94" t="s">
        <v>11</v>
      </c>
      <c r="L8" s="95" t="s">
        <v>12</v>
      </c>
      <c r="M8" s="96" t="s">
        <v>13</v>
      </c>
      <c r="N8" s="97"/>
      <c r="O8" s="94" t="s">
        <v>11</v>
      </c>
      <c r="P8" s="95" t="s">
        <v>12</v>
      </c>
      <c r="Q8" s="96" t="s">
        <v>13</v>
      </c>
      <c r="R8" s="202" t="s">
        <v>38</v>
      </c>
      <c r="S8" s="94" t="s">
        <v>34</v>
      </c>
      <c r="T8" s="98" t="s">
        <v>39</v>
      </c>
      <c r="U8" s="86" t="s">
        <v>36</v>
      </c>
      <c r="V8" s="99" t="s">
        <v>37</v>
      </c>
      <c r="W8" s="273"/>
      <c r="X8" s="274"/>
      <c r="Y8" s="190" t="s">
        <v>56</v>
      </c>
      <c r="Z8" s="182" t="s">
        <v>56</v>
      </c>
      <c r="AA8" s="188"/>
      <c r="AB8" s="199"/>
      <c r="AC8" s="37"/>
      <c r="AD8" s="37"/>
      <c r="AE8" s="228"/>
      <c r="AF8" s="37"/>
      <c r="AG8" s="37"/>
      <c r="AH8" s="37"/>
      <c r="AI8" s="37"/>
    </row>
    <row r="9" spans="2:43" s="12" customFormat="1" ht="15.75" customHeight="1" thickBot="1">
      <c r="B9" s="100">
        <v>1</v>
      </c>
      <c r="C9" s="347">
        <v>2</v>
      </c>
      <c r="D9" s="348"/>
      <c r="E9" s="100"/>
      <c r="F9" s="100"/>
      <c r="G9" s="100">
        <v>4</v>
      </c>
      <c r="H9" s="101">
        <f t="shared" ref="H9:M9" si="0">G9+1</f>
        <v>5</v>
      </c>
      <c r="I9" s="100">
        <f t="shared" si="0"/>
        <v>6</v>
      </c>
      <c r="J9" s="102">
        <f t="shared" si="0"/>
        <v>7</v>
      </c>
      <c r="K9" s="87">
        <f t="shared" si="0"/>
        <v>8</v>
      </c>
      <c r="L9" s="103">
        <f t="shared" si="0"/>
        <v>9</v>
      </c>
      <c r="M9" s="104">
        <f t="shared" si="0"/>
        <v>10</v>
      </c>
      <c r="N9" s="105"/>
      <c r="O9" s="87">
        <f>+M9+1</f>
        <v>11</v>
      </c>
      <c r="P9" s="103">
        <f t="shared" ref="P9:V9" si="1">O9+1</f>
        <v>12</v>
      </c>
      <c r="Q9" s="104">
        <f t="shared" si="1"/>
        <v>13</v>
      </c>
      <c r="R9" s="85">
        <f t="shared" si="1"/>
        <v>14</v>
      </c>
      <c r="S9" s="87"/>
      <c r="T9" s="106">
        <f>R9+1</f>
        <v>15</v>
      </c>
      <c r="U9" s="87">
        <f>+T9+1</f>
        <v>16</v>
      </c>
      <c r="V9" s="107">
        <f t="shared" si="1"/>
        <v>17</v>
      </c>
      <c r="W9" s="273"/>
      <c r="X9" s="275"/>
      <c r="Y9" s="190" t="s">
        <v>13</v>
      </c>
      <c r="Z9" s="183" t="s">
        <v>57</v>
      </c>
      <c r="AA9" s="189">
        <f>T11-R11</f>
        <v>-2.5036183995135133</v>
      </c>
      <c r="AB9" s="199"/>
      <c r="AC9" s="37"/>
      <c r="AD9" s="37"/>
      <c r="AE9" s="228"/>
      <c r="AF9" s="37"/>
      <c r="AG9" s="37"/>
      <c r="AH9" s="37"/>
      <c r="AI9" s="37"/>
    </row>
    <row r="10" spans="2:43" ht="15.75" customHeight="1">
      <c r="B10" s="109"/>
      <c r="C10" s="110"/>
      <c r="D10" s="13"/>
      <c r="E10" s="14"/>
      <c r="F10" s="14"/>
      <c r="G10" s="14"/>
      <c r="H10" s="15"/>
      <c r="I10" s="16"/>
      <c r="J10" s="17"/>
      <c r="K10" s="18"/>
      <c r="L10" s="19"/>
      <c r="M10" s="20"/>
      <c r="N10" s="14"/>
      <c r="O10" s="18"/>
      <c r="P10" s="19"/>
      <c r="Q10" s="21"/>
      <c r="R10" s="166"/>
      <c r="S10" s="18"/>
      <c r="T10" s="22"/>
      <c r="U10" s="23"/>
      <c r="V10" s="24"/>
      <c r="W10" s="303"/>
      <c r="X10" s="276"/>
      <c r="Y10" s="190"/>
      <c r="Z10" s="184"/>
      <c r="AA10" s="188"/>
      <c r="AC10" s="36"/>
      <c r="AD10" s="36"/>
      <c r="AE10" s="38"/>
      <c r="AF10" s="36"/>
      <c r="AG10" s="36"/>
      <c r="AH10" s="36"/>
      <c r="AI10" s="36"/>
    </row>
    <row r="11" spans="2:43" ht="15.75" customHeight="1">
      <c r="B11" s="335" t="s">
        <v>43</v>
      </c>
      <c r="C11" s="336"/>
      <c r="D11" s="112" t="s">
        <v>44</v>
      </c>
      <c r="E11" s="14"/>
      <c r="F11" s="14"/>
      <c r="G11" s="14"/>
      <c r="H11" s="15"/>
      <c r="I11" s="16"/>
      <c r="J11" s="17"/>
      <c r="K11" s="18">
        <f>K15</f>
        <v>19578822000</v>
      </c>
      <c r="L11" s="19"/>
      <c r="M11" s="20">
        <f>M15</f>
        <v>19578822000</v>
      </c>
      <c r="N11" s="14"/>
      <c r="O11" s="18">
        <f>O15</f>
        <v>19578822000</v>
      </c>
      <c r="P11" s="19"/>
      <c r="Q11" s="21">
        <f t="shared" ref="Q11:V11" si="2">Q15</f>
        <v>19578822000</v>
      </c>
      <c r="R11" s="233">
        <f t="shared" si="2"/>
        <v>49.5</v>
      </c>
      <c r="S11" s="18">
        <f t="shared" si="2"/>
        <v>9201337900</v>
      </c>
      <c r="T11" s="249">
        <f>T15</f>
        <v>46.996381600486487</v>
      </c>
      <c r="U11" s="25">
        <f t="shared" si="2"/>
        <v>55.42</v>
      </c>
      <c r="V11" s="24">
        <f t="shared" si="2"/>
        <v>53.861773195547713</v>
      </c>
      <c r="W11" s="312">
        <f>T11-R11</f>
        <v>-2.5036183995135133</v>
      </c>
      <c r="X11" s="276" t="s">
        <v>101</v>
      </c>
      <c r="Y11" s="252">
        <f>R11-T11</f>
        <v>2.5036183995135133</v>
      </c>
      <c r="Z11" s="185">
        <f>V11-U11</f>
        <v>-1.5582268044522891</v>
      </c>
      <c r="AA11" s="255">
        <f>U11-T11</f>
        <v>8.423618399513515</v>
      </c>
      <c r="AC11" s="36"/>
      <c r="AD11" s="36"/>
      <c r="AE11" s="38"/>
      <c r="AF11" s="36"/>
      <c r="AG11" s="36"/>
      <c r="AH11" s="36"/>
      <c r="AI11" s="36"/>
    </row>
    <row r="12" spans="2:43" ht="15.75" customHeight="1">
      <c r="B12" s="310"/>
      <c r="C12" s="311"/>
      <c r="D12" s="113"/>
      <c r="E12" s="14"/>
      <c r="F12" s="14"/>
      <c r="G12" s="14"/>
      <c r="H12" s="15"/>
      <c r="I12" s="16"/>
      <c r="J12" s="17"/>
      <c r="K12" s="18"/>
      <c r="L12" s="19"/>
      <c r="M12" s="20"/>
      <c r="N12" s="14"/>
      <c r="O12" s="18"/>
      <c r="P12" s="19"/>
      <c r="Q12" s="21"/>
      <c r="R12" s="233"/>
      <c r="S12" s="18"/>
      <c r="T12" s="168"/>
      <c r="U12" s="25"/>
      <c r="V12" s="24"/>
      <c r="W12" s="312">
        <f>V11-U11</f>
        <v>-1.5582268044522891</v>
      </c>
      <c r="X12" s="276" t="s">
        <v>102</v>
      </c>
      <c r="Y12" s="190"/>
      <c r="Z12" s="253">
        <f>T15-U11</f>
        <v>-8.423618399513515</v>
      </c>
      <c r="AA12" s="254">
        <f>Z12*O15/100</f>
        <v>-1649245252.4000001</v>
      </c>
      <c r="AC12" s="36"/>
      <c r="AD12" s="36"/>
      <c r="AE12" s="38"/>
      <c r="AF12" s="36"/>
      <c r="AG12" s="36"/>
      <c r="AH12" s="36"/>
      <c r="AI12" s="36"/>
    </row>
    <row r="13" spans="2:43" ht="15.75" customHeight="1">
      <c r="B13" s="335" t="s">
        <v>45</v>
      </c>
      <c r="C13" s="336"/>
      <c r="D13" s="112" t="s">
        <v>46</v>
      </c>
      <c r="E13" s="14"/>
      <c r="F13" s="14"/>
      <c r="G13" s="14"/>
      <c r="H13" s="15"/>
      <c r="I13" s="16"/>
      <c r="J13" s="17"/>
      <c r="K13" s="18"/>
      <c r="L13" s="19"/>
      <c r="M13" s="20"/>
      <c r="N13" s="14"/>
      <c r="O13" s="18"/>
      <c r="P13" s="19"/>
      <c r="Q13" s="21"/>
      <c r="R13" s="233"/>
      <c r="S13" s="306"/>
      <c r="T13" s="22"/>
      <c r="U13" s="25"/>
      <c r="V13" s="24"/>
      <c r="W13" s="303"/>
      <c r="X13" s="276"/>
      <c r="Y13" s="190"/>
      <c r="Z13" s="222">
        <f>T15-U11</f>
        <v>-8.423618399513515</v>
      </c>
      <c r="AA13" s="188"/>
      <c r="AC13" s="39">
        <f>O15*7.71/100</f>
        <v>1509527176.2</v>
      </c>
      <c r="AD13" s="36"/>
      <c r="AE13" s="38"/>
      <c r="AF13" s="36"/>
      <c r="AG13" s="36"/>
      <c r="AH13" s="36"/>
      <c r="AI13" s="36"/>
      <c r="AO13" s="266">
        <f>Q11*0.1</f>
        <v>1957882200</v>
      </c>
    </row>
    <row r="14" spans="2:43" ht="15.75" customHeight="1">
      <c r="B14" s="335" t="s">
        <v>47</v>
      </c>
      <c r="C14" s="336"/>
      <c r="D14" s="112" t="s">
        <v>48</v>
      </c>
      <c r="E14" s="14"/>
      <c r="F14" s="14"/>
      <c r="G14" s="14"/>
      <c r="H14" s="15"/>
      <c r="I14" s="16"/>
      <c r="J14" s="17"/>
      <c r="K14" s="18"/>
      <c r="L14" s="19"/>
      <c r="M14" s="20"/>
      <c r="N14" s="14"/>
      <c r="O14" s="18"/>
      <c r="P14" s="19"/>
      <c r="Q14" s="21"/>
      <c r="R14" s="233"/>
      <c r="S14" s="203"/>
      <c r="T14" s="22"/>
      <c r="U14" s="25"/>
      <c r="V14" s="24"/>
      <c r="W14" s="303"/>
      <c r="X14" s="276"/>
      <c r="Y14" s="190"/>
      <c r="Z14" s="225"/>
      <c r="AC14" s="221">
        <f>Q15*0.3</f>
        <v>5873646600</v>
      </c>
      <c r="AD14" s="36"/>
      <c r="AE14" s="38"/>
      <c r="AF14" s="36"/>
      <c r="AG14" s="36"/>
      <c r="AH14" s="36"/>
      <c r="AI14" s="36"/>
      <c r="AO14" s="266">
        <f>0.08*Q11</f>
        <v>1566305760</v>
      </c>
    </row>
    <row r="15" spans="2:43" ht="15.75" customHeight="1" thickBot="1">
      <c r="B15" s="358" t="s">
        <v>49</v>
      </c>
      <c r="C15" s="359"/>
      <c r="D15" s="207" t="s">
        <v>50</v>
      </c>
      <c r="E15" s="131"/>
      <c r="F15" s="131"/>
      <c r="G15" s="131"/>
      <c r="H15" s="132"/>
      <c r="I15" s="133"/>
      <c r="J15" s="134"/>
      <c r="K15" s="135">
        <f>K52+K44+K17+K26</f>
        <v>19578822000</v>
      </c>
      <c r="L15" s="136"/>
      <c r="M15" s="135">
        <f>M52+M44+M17+M26</f>
        <v>19578822000</v>
      </c>
      <c r="N15" s="131"/>
      <c r="O15" s="135">
        <f>O52+O44+O17+O26</f>
        <v>19578822000</v>
      </c>
      <c r="P15" s="259"/>
      <c r="Q15" s="260">
        <f>Q52+Q44+Q17+Q26</f>
        <v>19578822000</v>
      </c>
      <c r="R15" s="140">
        <v>49.5</v>
      </c>
      <c r="S15" s="135">
        <f>S52+S44+S17+S26</f>
        <v>9201337900</v>
      </c>
      <c r="T15" s="169">
        <f>S15/Q15*100</f>
        <v>46.996381600486487</v>
      </c>
      <c r="U15" s="140">
        <v>55.42</v>
      </c>
      <c r="V15" s="141">
        <f>AA15</f>
        <v>53.861773195547713</v>
      </c>
      <c r="W15" s="303"/>
      <c r="X15" s="276">
        <f>X52+X44+X17+X26</f>
        <v>100</v>
      </c>
      <c r="Y15" s="190">
        <f>Y52+Y44+Y17+Y26</f>
        <v>100</v>
      </c>
      <c r="Z15" s="225">
        <f>Z12*M15/100</f>
        <v>-1649245252.4000001</v>
      </c>
      <c r="AA15" s="192">
        <f>AA52+AA44+AA17+AA26</f>
        <v>53.861773195547713</v>
      </c>
      <c r="AC15" s="36"/>
      <c r="AD15" s="36"/>
      <c r="AE15" s="38"/>
      <c r="AF15" s="36"/>
      <c r="AG15" s="36"/>
      <c r="AH15" s="36"/>
      <c r="AI15" s="36"/>
      <c r="AO15" s="244">
        <f>AO52+AO44+AO17</f>
        <v>825387400</v>
      </c>
      <c r="AP15" s="1">
        <f>AP52+AP44+AP17</f>
        <v>4.2157153275105115</v>
      </c>
      <c r="AQ15" s="1">
        <f>8-AP15</f>
        <v>3.7842846724894885</v>
      </c>
    </row>
    <row r="16" spans="2:43" ht="15.75" customHeight="1">
      <c r="B16" s="205"/>
      <c r="C16" s="208"/>
      <c r="D16" s="206"/>
      <c r="E16" s="120"/>
      <c r="F16" s="120"/>
      <c r="G16" s="120"/>
      <c r="H16" s="121"/>
      <c r="I16" s="122"/>
      <c r="J16" s="123"/>
      <c r="K16" s="124"/>
      <c r="L16" s="125"/>
      <c r="M16" s="126"/>
      <c r="N16" s="120"/>
      <c r="O16" s="124"/>
      <c r="P16" s="125"/>
      <c r="Q16" s="126"/>
      <c r="R16" s="232">
        <v>0</v>
      </c>
      <c r="S16" s="124"/>
      <c r="T16" s="170"/>
      <c r="U16" s="127"/>
      <c r="V16" s="128"/>
      <c r="W16" s="303"/>
      <c r="X16" s="276"/>
      <c r="Y16" s="190"/>
      <c r="Z16" s="181"/>
      <c r="AA16" s="188"/>
      <c r="AC16" s="36"/>
      <c r="AD16" s="36"/>
      <c r="AE16" s="38"/>
      <c r="AF16" s="36"/>
      <c r="AG16" s="36"/>
      <c r="AH16" s="36"/>
      <c r="AI16" s="36"/>
    </row>
    <row r="17" spans="2:43" ht="15.75" customHeight="1" thickBot="1">
      <c r="B17" s="129"/>
      <c r="C17" s="209"/>
      <c r="D17" s="130"/>
      <c r="E17" s="131"/>
      <c r="F17" s="131"/>
      <c r="G17" s="131"/>
      <c r="H17" s="132"/>
      <c r="I17" s="133"/>
      <c r="J17" s="134"/>
      <c r="K17" s="326">
        <f>K18+K36</f>
        <v>16461110000</v>
      </c>
      <c r="L17" s="327"/>
      <c r="M17" s="328">
        <f t="shared" ref="M17:M24" si="3">K17</f>
        <v>16461110000</v>
      </c>
      <c r="N17" s="329"/>
      <c r="O17" s="326">
        <f>O18+O36</f>
        <v>16461110000</v>
      </c>
      <c r="P17" s="327"/>
      <c r="Q17" s="328">
        <f t="shared" ref="Q17:Q42" si="4">O17+P17</f>
        <v>16461110000</v>
      </c>
      <c r="R17" s="330">
        <f>(R18+R36)/2</f>
        <v>53.914999999999999</v>
      </c>
      <c r="S17" s="326">
        <f>S18+S36</f>
        <v>8400210800</v>
      </c>
      <c r="T17" s="331">
        <f>S17/M17*100</f>
        <v>51.030646171491476</v>
      </c>
      <c r="U17" s="332">
        <f>U18+U36</f>
        <v>119.82999999999998</v>
      </c>
      <c r="V17" s="333">
        <f>AB17</f>
        <v>106.58367687412238</v>
      </c>
      <c r="W17" s="303">
        <f>Q17-S17</f>
        <v>8060899200</v>
      </c>
      <c r="X17" s="276">
        <f>Q17/$Q$15*100</f>
        <v>84.076100186211406</v>
      </c>
      <c r="Y17" s="192">
        <f t="shared" ref="Y17:Y24" si="5">M17/$M$15*100</f>
        <v>84.076100186211406</v>
      </c>
      <c r="Z17" s="186">
        <f>Z18+Z36</f>
        <v>200.00000000000003</v>
      </c>
      <c r="AA17" s="192">
        <f>AA18+AA36</f>
        <v>44.844887450327704</v>
      </c>
      <c r="AB17" s="192">
        <f>AB18+AB36</f>
        <v>106.58367687412238</v>
      </c>
      <c r="AC17" s="38">
        <v>81.640671767201894</v>
      </c>
      <c r="AD17" s="36"/>
      <c r="AE17" s="38">
        <v>49617000</v>
      </c>
      <c r="AF17" s="36"/>
      <c r="AG17" s="36"/>
      <c r="AH17" s="36"/>
      <c r="AI17" s="36"/>
      <c r="AO17" s="244">
        <f>AO18+AO36</f>
        <v>658444400</v>
      </c>
      <c r="AP17" s="1">
        <f>AP18+AP36</f>
        <v>3.3630440074484564</v>
      </c>
      <c r="AQ17" s="266">
        <f>AQ53</f>
        <v>1399362760</v>
      </c>
    </row>
    <row r="18" spans="2:43" ht="15.75" customHeight="1" thickBot="1">
      <c r="B18" s="142"/>
      <c r="C18" s="209" t="s">
        <v>100</v>
      </c>
      <c r="D18" s="143" t="s">
        <v>52</v>
      </c>
      <c r="E18" s="144"/>
      <c r="F18" s="144"/>
      <c r="G18" s="144"/>
      <c r="H18" s="145"/>
      <c r="I18" s="146"/>
      <c r="J18" s="147"/>
      <c r="K18" s="148">
        <f>SUM(K19:K24)</f>
        <v>9722182000</v>
      </c>
      <c r="L18" s="149"/>
      <c r="M18" s="150">
        <f t="shared" si="3"/>
        <v>9722182000</v>
      </c>
      <c r="N18" s="144"/>
      <c r="O18" s="148">
        <f>SUM(O19:O24)</f>
        <v>9722182000</v>
      </c>
      <c r="P18" s="149"/>
      <c r="Q18" s="150">
        <f>O18</f>
        <v>9722182000</v>
      </c>
      <c r="R18" s="234">
        <v>47.62</v>
      </c>
      <c r="S18" s="148">
        <f>SUM(S19:S24)</f>
        <v>4945084200</v>
      </c>
      <c r="T18" s="171">
        <f>S18/Q18*100</f>
        <v>50.863933631359714</v>
      </c>
      <c r="U18" s="151">
        <v>53.62</v>
      </c>
      <c r="V18" s="152">
        <f>AB18</f>
        <v>53.549025517111282</v>
      </c>
      <c r="W18" s="303">
        <f>Q18-S18</f>
        <v>4777097800</v>
      </c>
      <c r="X18" s="276">
        <f>Q18/$Q$15*100</f>
        <v>49.656623876553965</v>
      </c>
      <c r="Y18" s="192">
        <f t="shared" si="5"/>
        <v>49.656623876553965</v>
      </c>
      <c r="Z18" s="185">
        <f>SUM(Z19:Z24)</f>
        <v>100.00000000000001</v>
      </c>
      <c r="AA18" s="192">
        <f>SUM(AA19:AA24)</f>
        <v>26.590638190591854</v>
      </c>
      <c r="AB18" s="192">
        <f>SUM(AB19:AB24)</f>
        <v>53.549025517111282</v>
      </c>
      <c r="AC18" s="38">
        <v>21.998059332381366</v>
      </c>
      <c r="AD18" s="36"/>
      <c r="AE18" s="38" t="s">
        <v>69</v>
      </c>
      <c r="AF18" s="36" t="s">
        <v>70</v>
      </c>
      <c r="AG18" s="36" t="s">
        <v>71</v>
      </c>
      <c r="AH18" s="36"/>
      <c r="AI18" s="36"/>
      <c r="AO18" s="244">
        <f>SUM(AO19:AO24)</f>
        <v>388887280</v>
      </c>
      <c r="AP18" s="1">
        <f>AO18/$K$11*100</f>
        <v>1.9862649550621585</v>
      </c>
      <c r="AQ18" s="267">
        <v>7.289325839638769</v>
      </c>
    </row>
    <row r="19" spans="2:43" ht="15.75" customHeight="1">
      <c r="B19" s="118"/>
      <c r="C19" s="210" t="s">
        <v>30</v>
      </c>
      <c r="D19" s="119" t="s">
        <v>68</v>
      </c>
      <c r="E19" s="120"/>
      <c r="F19" s="120" t="s">
        <v>28</v>
      </c>
      <c r="G19" s="120"/>
      <c r="H19" s="121" t="s">
        <v>65</v>
      </c>
      <c r="I19" s="122"/>
      <c r="J19" s="123"/>
      <c r="K19" s="124">
        <v>4661118000</v>
      </c>
      <c r="L19" s="125"/>
      <c r="M19" s="126">
        <f t="shared" si="3"/>
        <v>4661118000</v>
      </c>
      <c r="N19" s="120"/>
      <c r="O19" s="124">
        <f t="shared" ref="O19:O24" si="6">M19</f>
        <v>4661118000</v>
      </c>
      <c r="P19" s="125"/>
      <c r="Q19" s="126">
        <f t="shared" si="4"/>
        <v>4661118000</v>
      </c>
      <c r="R19" s="232">
        <v>46</v>
      </c>
      <c r="S19" s="124">
        <f>AH19</f>
        <v>2324386600</v>
      </c>
      <c r="T19" s="170">
        <f t="shared" ref="T19:T24" si="7">S19/Q19*100</f>
        <v>49.867576834570592</v>
      </c>
      <c r="U19" s="264">
        <v>52</v>
      </c>
      <c r="V19" s="128">
        <v>52</v>
      </c>
      <c r="W19" s="303"/>
      <c r="X19" s="276"/>
      <c r="Y19" s="192">
        <f t="shared" si="5"/>
        <v>23.806937925070262</v>
      </c>
      <c r="Z19" s="185">
        <f t="shared" ref="Z19:Z24" si="8">M19/$M$18*100</f>
        <v>47.943126347562718</v>
      </c>
      <c r="AA19" s="191">
        <f t="shared" ref="AA19:AA24" si="9">V19*Y19/100</f>
        <v>12.379607721036537</v>
      </c>
      <c r="AB19" s="201">
        <f t="shared" ref="AB19:AB24" si="10">V19*Z19/100</f>
        <v>24.930425700732613</v>
      </c>
      <c r="AC19" s="38">
        <v>63.8</v>
      </c>
      <c r="AD19" s="36"/>
      <c r="AE19" s="38">
        <v>1337663800</v>
      </c>
      <c r="AF19" s="38">
        <v>569446800</v>
      </c>
      <c r="AG19" s="38">
        <v>417276000</v>
      </c>
      <c r="AH19" s="39">
        <f>SUM(AE19:AG19)</f>
        <v>2324386600</v>
      </c>
      <c r="AI19" s="36"/>
      <c r="AO19" s="266">
        <f t="shared" ref="AO19:AO24" si="11">Q19*0.04</f>
        <v>186444720</v>
      </c>
      <c r="AQ19" s="268">
        <f>AQ18-2.67</f>
        <v>4.6193258396387691</v>
      </c>
    </row>
    <row r="20" spans="2:43" ht="15.75" customHeight="1">
      <c r="B20" s="114"/>
      <c r="C20" s="211" t="s">
        <v>30</v>
      </c>
      <c r="D20" s="115" t="s">
        <v>58</v>
      </c>
      <c r="E20" s="14"/>
      <c r="F20" s="14" t="s">
        <v>28</v>
      </c>
      <c r="G20" s="14"/>
      <c r="H20" s="15" t="s">
        <v>66</v>
      </c>
      <c r="I20" s="16"/>
      <c r="J20" s="17"/>
      <c r="K20" s="18">
        <v>1910458000</v>
      </c>
      <c r="L20" s="19"/>
      <c r="M20" s="20">
        <f t="shared" si="3"/>
        <v>1910458000</v>
      </c>
      <c r="N20" s="14"/>
      <c r="O20" s="18">
        <f t="shared" si="6"/>
        <v>1910458000</v>
      </c>
      <c r="P20" s="19"/>
      <c r="Q20" s="20">
        <f t="shared" si="4"/>
        <v>1910458000</v>
      </c>
      <c r="R20" s="233">
        <v>46</v>
      </c>
      <c r="S20" s="18">
        <v>963257600</v>
      </c>
      <c r="T20" s="168">
        <f t="shared" si="7"/>
        <v>50.420244779000633</v>
      </c>
      <c r="U20" s="265">
        <v>52</v>
      </c>
      <c r="V20" s="24">
        <v>53</v>
      </c>
      <c r="W20" s="303"/>
      <c r="X20" s="276"/>
      <c r="Y20" s="192">
        <f t="shared" si="5"/>
        <v>9.7577780726542169</v>
      </c>
      <c r="Z20" s="185">
        <f t="shared" si="8"/>
        <v>19.650506439809501</v>
      </c>
      <c r="AA20" s="191">
        <f t="shared" si="9"/>
        <v>5.1716223785067346</v>
      </c>
      <c r="AB20" s="201">
        <f t="shared" si="10"/>
        <v>10.414768413099036</v>
      </c>
      <c r="AC20" s="38">
        <v>62.3</v>
      </c>
      <c r="AD20" s="36"/>
      <c r="AE20" s="38">
        <v>49866000</v>
      </c>
      <c r="AF20" s="36"/>
      <c r="AG20" s="36"/>
      <c r="AH20" s="36"/>
      <c r="AI20" s="36"/>
      <c r="AO20" s="266">
        <f t="shared" si="11"/>
        <v>76418320</v>
      </c>
    </row>
    <row r="21" spans="2:43" ht="15.75" customHeight="1">
      <c r="B21" s="114"/>
      <c r="C21" s="211" t="s">
        <v>30</v>
      </c>
      <c r="D21" s="115" t="s">
        <v>59</v>
      </c>
      <c r="E21" s="14"/>
      <c r="F21" s="14" t="s">
        <v>28</v>
      </c>
      <c r="G21" s="14"/>
      <c r="H21" s="15" t="s">
        <v>66</v>
      </c>
      <c r="I21" s="16"/>
      <c r="J21" s="17"/>
      <c r="K21" s="18">
        <v>903098000</v>
      </c>
      <c r="L21" s="19"/>
      <c r="M21" s="20">
        <f t="shared" si="3"/>
        <v>903098000</v>
      </c>
      <c r="N21" s="14"/>
      <c r="O21" s="18">
        <f t="shared" si="6"/>
        <v>903098000</v>
      </c>
      <c r="P21" s="19"/>
      <c r="Q21" s="20">
        <f t="shared" si="4"/>
        <v>903098000</v>
      </c>
      <c r="R21" s="233">
        <v>51</v>
      </c>
      <c r="S21" s="18">
        <v>462154800</v>
      </c>
      <c r="T21" s="168">
        <f t="shared" si="7"/>
        <v>51.174379746162657</v>
      </c>
      <c r="U21" s="265">
        <v>57</v>
      </c>
      <c r="V21" s="24">
        <v>55</v>
      </c>
      <c r="W21" s="303"/>
      <c r="X21" s="276"/>
      <c r="Y21" s="192">
        <f t="shared" si="5"/>
        <v>4.6126268475192225</v>
      </c>
      <c r="Z21" s="185">
        <f t="shared" si="8"/>
        <v>9.289046430112089</v>
      </c>
      <c r="AA21" s="191">
        <f t="shared" si="9"/>
        <v>2.5369447661355724</v>
      </c>
      <c r="AB21" s="201">
        <f t="shared" si="10"/>
        <v>5.1089755365616494</v>
      </c>
      <c r="AC21" s="38">
        <v>63.1</v>
      </c>
      <c r="AD21" s="36"/>
      <c r="AE21" s="229">
        <v>49589000</v>
      </c>
      <c r="AF21" s="36"/>
      <c r="AG21" s="36"/>
      <c r="AH21" s="36"/>
      <c r="AI21" s="36"/>
      <c r="AO21" s="266">
        <f t="shared" si="11"/>
        <v>36123920</v>
      </c>
    </row>
    <row r="22" spans="2:43" ht="15.75" customHeight="1">
      <c r="B22" s="114"/>
      <c r="C22" s="211" t="s">
        <v>30</v>
      </c>
      <c r="D22" s="115" t="s">
        <v>60</v>
      </c>
      <c r="E22" s="14"/>
      <c r="F22" s="14" t="s">
        <v>28</v>
      </c>
      <c r="G22" s="14"/>
      <c r="H22" s="15" t="s">
        <v>66</v>
      </c>
      <c r="I22" s="16"/>
      <c r="J22" s="17"/>
      <c r="K22" s="18">
        <v>1264524000</v>
      </c>
      <c r="L22" s="19"/>
      <c r="M22" s="20">
        <f t="shared" si="3"/>
        <v>1264524000</v>
      </c>
      <c r="N22" s="14"/>
      <c r="O22" s="18">
        <f t="shared" si="6"/>
        <v>1264524000</v>
      </c>
      <c r="P22" s="19"/>
      <c r="Q22" s="20">
        <f t="shared" si="4"/>
        <v>1264524000</v>
      </c>
      <c r="R22" s="233">
        <v>51</v>
      </c>
      <c r="S22" s="18">
        <v>688878000</v>
      </c>
      <c r="T22" s="168">
        <f t="shared" si="7"/>
        <v>54.47725784563994</v>
      </c>
      <c r="U22" s="265">
        <v>57</v>
      </c>
      <c r="V22" s="24">
        <v>58</v>
      </c>
      <c r="W22" s="303"/>
      <c r="X22" s="276"/>
      <c r="Y22" s="192">
        <f t="shared" si="5"/>
        <v>6.4586316786576834</v>
      </c>
      <c r="Z22" s="185">
        <f t="shared" si="8"/>
        <v>13.006586381534516</v>
      </c>
      <c r="AA22" s="191">
        <f t="shared" si="9"/>
        <v>3.7460063736214564</v>
      </c>
      <c r="AB22" s="201">
        <f t="shared" si="10"/>
        <v>7.5438201012900201</v>
      </c>
      <c r="AC22" s="38">
        <v>63.1</v>
      </c>
      <c r="AD22" s="36"/>
      <c r="AE22" s="38"/>
      <c r="AF22" s="36"/>
      <c r="AG22" s="36"/>
      <c r="AH22" s="36"/>
      <c r="AI22" s="36"/>
      <c r="AO22" s="266">
        <f t="shared" si="11"/>
        <v>50580960</v>
      </c>
    </row>
    <row r="23" spans="2:43" ht="15.75" customHeight="1">
      <c r="B23" s="114"/>
      <c r="C23" s="211" t="s">
        <v>30</v>
      </c>
      <c r="D23" s="115" t="s">
        <v>61</v>
      </c>
      <c r="E23" s="14"/>
      <c r="F23" s="14" t="s">
        <v>28</v>
      </c>
      <c r="G23" s="14"/>
      <c r="H23" s="15" t="s">
        <v>67</v>
      </c>
      <c r="I23" s="16"/>
      <c r="J23" s="17"/>
      <c r="K23" s="18">
        <v>539462000</v>
      </c>
      <c r="L23" s="19"/>
      <c r="M23" s="20">
        <f t="shared" si="3"/>
        <v>539462000</v>
      </c>
      <c r="N23" s="14"/>
      <c r="O23" s="18">
        <f t="shared" si="6"/>
        <v>539462000</v>
      </c>
      <c r="P23" s="19"/>
      <c r="Q23" s="20">
        <f t="shared" si="4"/>
        <v>539462000</v>
      </c>
      <c r="R23" s="233">
        <v>51</v>
      </c>
      <c r="S23" s="18">
        <v>275710400</v>
      </c>
      <c r="T23" s="168">
        <f t="shared" si="7"/>
        <v>51.108400591700622</v>
      </c>
      <c r="U23" s="265">
        <v>57</v>
      </c>
      <c r="V23" s="24">
        <v>54</v>
      </c>
      <c r="W23" s="303"/>
      <c r="X23" s="276"/>
      <c r="Y23" s="192">
        <f t="shared" si="5"/>
        <v>2.7553343096944238</v>
      </c>
      <c r="Z23" s="185">
        <f t="shared" si="8"/>
        <v>5.5487749560746753</v>
      </c>
      <c r="AA23" s="191">
        <f t="shared" si="9"/>
        <v>1.4878805272349889</v>
      </c>
      <c r="AB23" s="201">
        <f t="shared" si="10"/>
        <v>2.9963384762803247</v>
      </c>
      <c r="AC23" s="38">
        <v>63.1</v>
      </c>
      <c r="AD23" s="36"/>
      <c r="AE23" s="38"/>
      <c r="AF23" s="36"/>
      <c r="AG23" s="36"/>
      <c r="AH23" s="36"/>
      <c r="AI23" s="36"/>
      <c r="AO23" s="266">
        <f t="shared" si="11"/>
        <v>21578480</v>
      </c>
    </row>
    <row r="24" spans="2:43" ht="15.75" customHeight="1">
      <c r="B24" s="114"/>
      <c r="C24" s="211" t="s">
        <v>30</v>
      </c>
      <c r="D24" s="115" t="s">
        <v>62</v>
      </c>
      <c r="E24" s="14"/>
      <c r="F24" s="14" t="s">
        <v>28</v>
      </c>
      <c r="G24" s="14"/>
      <c r="H24" s="15" t="s">
        <v>67</v>
      </c>
      <c r="I24" s="16"/>
      <c r="J24" s="17"/>
      <c r="K24" s="18">
        <v>443522000</v>
      </c>
      <c r="L24" s="19"/>
      <c r="M24" s="20">
        <f t="shared" si="3"/>
        <v>443522000</v>
      </c>
      <c r="N24" s="14"/>
      <c r="O24" s="18">
        <f t="shared" si="6"/>
        <v>443522000</v>
      </c>
      <c r="P24" s="19"/>
      <c r="Q24" s="20">
        <f t="shared" si="4"/>
        <v>443522000</v>
      </c>
      <c r="R24" s="233">
        <v>51</v>
      </c>
      <c r="S24" s="18">
        <v>230696800</v>
      </c>
      <c r="T24" s="168">
        <f t="shared" si="7"/>
        <v>52.014736585783794</v>
      </c>
      <c r="U24" s="265">
        <v>57</v>
      </c>
      <c r="V24" s="24">
        <v>56</v>
      </c>
      <c r="W24" s="303"/>
      <c r="X24" s="276"/>
      <c r="Y24" s="192">
        <f t="shared" si="5"/>
        <v>2.2653150429581514</v>
      </c>
      <c r="Z24" s="185">
        <f t="shared" si="8"/>
        <v>4.5619594449065035</v>
      </c>
      <c r="AA24" s="191">
        <f t="shared" si="9"/>
        <v>1.2685764240565647</v>
      </c>
      <c r="AB24" s="201">
        <f t="shared" si="10"/>
        <v>2.5546972891476418</v>
      </c>
      <c r="AC24" s="38">
        <v>63.1</v>
      </c>
      <c r="AD24" s="36"/>
      <c r="AE24" s="38"/>
      <c r="AF24" s="36"/>
      <c r="AG24" s="36"/>
      <c r="AH24" s="36"/>
      <c r="AI24" s="36"/>
      <c r="AO24" s="266">
        <f t="shared" si="11"/>
        <v>17740880</v>
      </c>
    </row>
    <row r="25" spans="2:43" ht="15.75" customHeight="1">
      <c r="B25" s="116"/>
      <c r="C25" s="212"/>
      <c r="D25" s="117"/>
      <c r="E25" s="14"/>
      <c r="F25" s="14"/>
      <c r="G25" s="14"/>
      <c r="H25" s="15"/>
      <c r="I25" s="16"/>
      <c r="J25" s="17"/>
      <c r="K25" s="18"/>
      <c r="L25" s="19"/>
      <c r="M25" s="20"/>
      <c r="N25" s="14"/>
      <c r="O25" s="18"/>
      <c r="P25" s="19"/>
      <c r="Q25" s="20">
        <f t="shared" si="4"/>
        <v>0</v>
      </c>
      <c r="R25" s="233">
        <v>0</v>
      </c>
      <c r="S25" s="18"/>
      <c r="T25" s="168"/>
      <c r="U25" s="25"/>
      <c r="V25" s="24"/>
      <c r="W25" s="303"/>
      <c r="X25" s="276"/>
      <c r="Y25" s="192"/>
      <c r="Z25" s="185"/>
      <c r="AA25" s="191"/>
      <c r="AC25" s="36"/>
      <c r="AD25" s="36"/>
      <c r="AE25" s="38"/>
      <c r="AF25" s="36"/>
      <c r="AG25" s="36"/>
      <c r="AH25" s="36"/>
      <c r="AI25" s="36"/>
    </row>
    <row r="26" spans="2:43" ht="15.75" customHeight="1">
      <c r="B26" s="164"/>
      <c r="C26" s="214" t="s">
        <v>54</v>
      </c>
      <c r="D26" s="165" t="s">
        <v>55</v>
      </c>
      <c r="E26" s="155"/>
      <c r="F26" s="155"/>
      <c r="G26" s="155"/>
      <c r="H26" s="156"/>
      <c r="I26" s="157"/>
      <c r="J26" s="158"/>
      <c r="K26" s="159">
        <f>SUM(K27:K34)</f>
        <v>2449940000</v>
      </c>
      <c r="L26" s="160"/>
      <c r="M26" s="161">
        <f t="shared" ref="M26:M34" si="12">K26</f>
        <v>2449940000</v>
      </c>
      <c r="N26" s="155"/>
      <c r="O26" s="159">
        <f>SUM(O27:O34)</f>
        <v>2449940000</v>
      </c>
      <c r="P26" s="160"/>
      <c r="Q26" s="161">
        <f t="shared" ref="Q26:Q34" si="13">O26+P26</f>
        <v>2449940000</v>
      </c>
      <c r="R26" s="235">
        <v>29.66</v>
      </c>
      <c r="S26" s="159">
        <f>SUM(S27:S34)</f>
        <v>428120100</v>
      </c>
      <c r="T26" s="172">
        <f>S26/O26*100</f>
        <v>17.474717748189754</v>
      </c>
      <c r="U26" s="162">
        <v>35.08</v>
      </c>
      <c r="V26" s="163">
        <f>AB26</f>
        <v>56.760043511269664</v>
      </c>
      <c r="W26" s="303"/>
      <c r="X26" s="276">
        <f>Q26/$Q$15*100</f>
        <v>12.513214533540374</v>
      </c>
      <c r="Y26" s="192">
        <f t="shared" ref="Y26:Y34" si="14">M26/$M$15*100</f>
        <v>12.513214533540374</v>
      </c>
      <c r="Z26" s="186">
        <f>SUM(Z27:Z34)</f>
        <v>100</v>
      </c>
      <c r="AA26" s="192">
        <f>SUM(AA27:AA34)</f>
        <v>7.1025060138960354</v>
      </c>
      <c r="AB26" s="256">
        <f>SUM(AB27:AB34)</f>
        <v>56.760043511269664</v>
      </c>
      <c r="AC26" s="36">
        <f>SUM(AC27:AC34)/8</f>
        <v>73.125</v>
      </c>
      <c r="AD26" s="36"/>
      <c r="AE26" s="38" t="s">
        <v>69</v>
      </c>
      <c r="AF26" s="36" t="s">
        <v>70</v>
      </c>
      <c r="AG26" s="36" t="s">
        <v>71</v>
      </c>
      <c r="AH26" s="36"/>
      <c r="AI26" s="36"/>
    </row>
    <row r="27" spans="2:43" ht="15.75" customHeight="1">
      <c r="B27" s="118"/>
      <c r="C27" s="210" t="s">
        <v>30</v>
      </c>
      <c r="D27" s="119" t="s">
        <v>77</v>
      </c>
      <c r="E27" s="120"/>
      <c r="F27" s="120" t="s">
        <v>27</v>
      </c>
      <c r="G27" s="120"/>
      <c r="H27" s="121" t="s">
        <v>73</v>
      </c>
      <c r="I27" s="122"/>
      <c r="J27" s="123"/>
      <c r="K27" s="124">
        <v>419200000</v>
      </c>
      <c r="L27" s="125"/>
      <c r="M27" s="126">
        <f t="shared" si="12"/>
        <v>419200000</v>
      </c>
      <c r="N27" s="120"/>
      <c r="O27" s="124">
        <f>M27</f>
        <v>419200000</v>
      </c>
      <c r="P27" s="125"/>
      <c r="Q27" s="126">
        <f t="shared" si="13"/>
        <v>419200000</v>
      </c>
      <c r="R27" s="232">
        <v>29.22</v>
      </c>
      <c r="S27" s="124">
        <v>105217200</v>
      </c>
      <c r="T27" s="168">
        <f>S27/Q27*100</f>
        <v>25.099522900763361</v>
      </c>
      <c r="U27" s="265">
        <v>34.020000000000003</v>
      </c>
      <c r="V27" s="128">
        <v>52</v>
      </c>
      <c r="W27" s="303"/>
      <c r="X27" s="276"/>
      <c r="Y27" s="192">
        <f t="shared" si="14"/>
        <v>2.1410889786934066</v>
      </c>
      <c r="Z27" s="185">
        <f t="shared" ref="Z27:Z34" si="15">M27/$M$26*100</f>
        <v>17.110623117300833</v>
      </c>
      <c r="AA27" s="191">
        <f t="shared" ref="AA27:AA34" si="16">V27*Y27/100</f>
        <v>1.1133662689205714</v>
      </c>
      <c r="AB27" s="201">
        <f t="shared" ref="AB27:AB34" si="17">V27*Z27/100</f>
        <v>8.8975240209964337</v>
      </c>
      <c r="AC27" s="36">
        <v>60</v>
      </c>
      <c r="AD27" s="36"/>
      <c r="AE27" s="38">
        <v>1513960800</v>
      </c>
      <c r="AF27" s="38">
        <v>914124000</v>
      </c>
      <c r="AG27" s="38">
        <v>486845800</v>
      </c>
      <c r="AH27" s="39">
        <f>SUM(AE27:AG27)</f>
        <v>2914930600</v>
      </c>
      <c r="AI27" s="36"/>
    </row>
    <row r="28" spans="2:43" ht="15.75" customHeight="1">
      <c r="B28" s="118"/>
      <c r="C28" s="210" t="s">
        <v>30</v>
      </c>
      <c r="D28" s="119" t="s">
        <v>74</v>
      </c>
      <c r="E28" s="120"/>
      <c r="F28" s="120" t="s">
        <v>27</v>
      </c>
      <c r="G28" s="120"/>
      <c r="H28" s="121" t="s">
        <v>67</v>
      </c>
      <c r="I28" s="122"/>
      <c r="J28" s="123"/>
      <c r="K28" s="124">
        <v>218969000</v>
      </c>
      <c r="L28" s="125"/>
      <c r="M28" s="126">
        <f t="shared" si="12"/>
        <v>218969000</v>
      </c>
      <c r="N28" s="120"/>
      <c r="O28" s="124">
        <f>M28</f>
        <v>218969000</v>
      </c>
      <c r="P28" s="125"/>
      <c r="Q28" s="126">
        <f>O28</f>
        <v>218969000</v>
      </c>
      <c r="R28" s="251">
        <v>28.51</v>
      </c>
      <c r="S28" s="124">
        <v>7803000</v>
      </c>
      <c r="T28" s="168">
        <f>S28/Q28*100</f>
        <v>3.5635181235700033</v>
      </c>
      <c r="U28" s="265">
        <v>34.07</v>
      </c>
      <c r="V28" s="128">
        <v>42</v>
      </c>
      <c r="W28" s="303"/>
      <c r="X28" s="276"/>
      <c r="Y28" s="192">
        <f t="shared" si="14"/>
        <v>1.1183972151133506</v>
      </c>
      <c r="Z28" s="185">
        <f t="shared" si="15"/>
        <v>8.9377290872429533</v>
      </c>
      <c r="AA28" s="191">
        <f t="shared" si="16"/>
        <v>0.4697268303476072</v>
      </c>
      <c r="AB28" s="201">
        <f t="shared" si="17"/>
        <v>3.7538462166420401</v>
      </c>
      <c r="AC28" s="36">
        <v>60</v>
      </c>
      <c r="AD28" s="36"/>
      <c r="AE28" s="38"/>
      <c r="AF28" s="38"/>
      <c r="AG28" s="38"/>
      <c r="AH28" s="39"/>
      <c r="AI28" s="36"/>
    </row>
    <row r="29" spans="2:43" ht="15.75" customHeight="1">
      <c r="B29" s="118"/>
      <c r="C29" s="210" t="s">
        <v>30</v>
      </c>
      <c r="D29" s="119" t="s">
        <v>75</v>
      </c>
      <c r="E29" s="120"/>
      <c r="F29" s="120" t="s">
        <v>27</v>
      </c>
      <c r="G29" s="120"/>
      <c r="H29" s="121" t="s">
        <v>76</v>
      </c>
      <c r="I29" s="122"/>
      <c r="J29" s="123"/>
      <c r="K29" s="124">
        <v>0</v>
      </c>
      <c r="L29" s="125"/>
      <c r="M29" s="126">
        <f t="shared" si="12"/>
        <v>0</v>
      </c>
      <c r="N29" s="120"/>
      <c r="O29" s="124">
        <v>0</v>
      </c>
      <c r="P29" s="125"/>
      <c r="Q29" s="126">
        <f>O29</f>
        <v>0</v>
      </c>
      <c r="R29" s="251">
        <v>0</v>
      </c>
      <c r="S29" s="124">
        <v>0</v>
      </c>
      <c r="T29" s="168">
        <v>0</v>
      </c>
      <c r="U29" s="265">
        <v>0</v>
      </c>
      <c r="V29" s="128">
        <v>0</v>
      </c>
      <c r="W29" s="303"/>
      <c r="X29" s="276"/>
      <c r="Y29" s="192">
        <f t="shared" si="14"/>
        <v>0</v>
      </c>
      <c r="Z29" s="185">
        <f t="shared" si="15"/>
        <v>0</v>
      </c>
      <c r="AA29" s="191">
        <f t="shared" si="16"/>
        <v>0</v>
      </c>
      <c r="AB29" s="201">
        <f t="shared" si="17"/>
        <v>0</v>
      </c>
      <c r="AC29" s="36">
        <v>60</v>
      </c>
      <c r="AD29" s="36"/>
      <c r="AE29" s="38"/>
      <c r="AF29" s="38"/>
      <c r="AG29" s="38"/>
      <c r="AH29" s="39"/>
      <c r="AI29" s="36"/>
    </row>
    <row r="30" spans="2:43" ht="15.75" customHeight="1">
      <c r="B30" s="114"/>
      <c r="C30" s="211" t="s">
        <v>30</v>
      </c>
      <c r="D30" s="119" t="s">
        <v>58</v>
      </c>
      <c r="E30" s="14"/>
      <c r="F30" s="14" t="s">
        <v>27</v>
      </c>
      <c r="G30" s="14"/>
      <c r="H30" s="15" t="s">
        <v>66</v>
      </c>
      <c r="I30" s="16"/>
      <c r="J30" s="17"/>
      <c r="K30" s="18">
        <v>217996000</v>
      </c>
      <c r="L30" s="19"/>
      <c r="M30" s="20">
        <f t="shared" si="12"/>
        <v>217996000</v>
      </c>
      <c r="N30" s="14"/>
      <c r="O30" s="18">
        <f>M30</f>
        <v>217996000</v>
      </c>
      <c r="P30" s="19"/>
      <c r="Q30" s="20">
        <f t="shared" si="13"/>
        <v>217996000</v>
      </c>
      <c r="R30" s="250">
        <v>28.55</v>
      </c>
      <c r="S30" s="124">
        <v>7866000</v>
      </c>
      <c r="T30" s="168">
        <f>S30/Q30*100</f>
        <v>3.6083230884970368</v>
      </c>
      <c r="U30" s="265">
        <v>34.119999999999997</v>
      </c>
      <c r="V30" s="24">
        <v>73</v>
      </c>
      <c r="W30" s="303"/>
      <c r="X30" s="276"/>
      <c r="Y30" s="192">
        <f t="shared" si="14"/>
        <v>1.1134275596356105</v>
      </c>
      <c r="Z30" s="185">
        <f t="shared" si="15"/>
        <v>8.898013828910095</v>
      </c>
      <c r="AA30" s="191">
        <f t="shared" si="16"/>
        <v>0.81280211853399564</v>
      </c>
      <c r="AB30" s="201">
        <f t="shared" si="17"/>
        <v>6.4955500951043685</v>
      </c>
      <c r="AC30" s="36">
        <v>60</v>
      </c>
      <c r="AD30" s="36"/>
      <c r="AI30" s="36"/>
    </row>
    <row r="31" spans="2:43" ht="15.75" customHeight="1">
      <c r="B31" s="114"/>
      <c r="C31" s="211" t="s">
        <v>30</v>
      </c>
      <c r="D31" s="119" t="s">
        <v>59</v>
      </c>
      <c r="E31" s="14"/>
      <c r="F31" s="14" t="s">
        <v>27</v>
      </c>
      <c r="G31" s="14"/>
      <c r="H31" s="15" t="s">
        <v>66</v>
      </c>
      <c r="I31" s="16"/>
      <c r="J31" s="17"/>
      <c r="K31" s="18">
        <v>216900000</v>
      </c>
      <c r="L31" s="19"/>
      <c r="M31" s="20">
        <f t="shared" si="12"/>
        <v>216900000</v>
      </c>
      <c r="N31" s="14"/>
      <c r="O31" s="18">
        <f>M31</f>
        <v>216900000</v>
      </c>
      <c r="P31" s="19"/>
      <c r="Q31" s="20">
        <f t="shared" si="13"/>
        <v>216900000</v>
      </c>
      <c r="R31" s="250">
        <v>28.59</v>
      </c>
      <c r="S31" s="18">
        <v>7433000</v>
      </c>
      <c r="T31" s="168">
        <f>S31/Q31*100</f>
        <v>3.4269248501613649</v>
      </c>
      <c r="U31" s="265">
        <v>34.17</v>
      </c>
      <c r="V31" s="24">
        <v>65</v>
      </c>
      <c r="W31" s="303"/>
      <c r="X31" s="276"/>
      <c r="Y31" s="192">
        <f t="shared" si="14"/>
        <v>1.107829674328721</v>
      </c>
      <c r="Z31" s="185">
        <f t="shared" si="15"/>
        <v>8.8532780394621913</v>
      </c>
      <c r="AA31" s="191">
        <f t="shared" si="16"/>
        <v>0.7200892883136687</v>
      </c>
      <c r="AB31" s="201">
        <f t="shared" si="17"/>
        <v>5.7546307256504248</v>
      </c>
      <c r="AC31" s="36">
        <v>60</v>
      </c>
      <c r="AD31" s="36"/>
      <c r="AE31" s="38"/>
      <c r="AF31" s="36"/>
      <c r="AG31" s="36"/>
      <c r="AH31" s="36"/>
      <c r="AI31" s="36"/>
    </row>
    <row r="32" spans="2:43" ht="15.75" customHeight="1">
      <c r="B32" s="114"/>
      <c r="C32" s="211" t="s">
        <v>30</v>
      </c>
      <c r="D32" s="115" t="s">
        <v>60</v>
      </c>
      <c r="E32" s="14"/>
      <c r="F32" s="14" t="s">
        <v>27</v>
      </c>
      <c r="G32" s="14"/>
      <c r="H32" s="15" t="s">
        <v>66</v>
      </c>
      <c r="I32" s="16"/>
      <c r="J32" s="17"/>
      <c r="K32" s="18">
        <v>720805000</v>
      </c>
      <c r="L32" s="19"/>
      <c r="M32" s="20">
        <f t="shared" si="12"/>
        <v>720805000</v>
      </c>
      <c r="N32" s="14"/>
      <c r="O32" s="18">
        <f>M32</f>
        <v>720805000</v>
      </c>
      <c r="P32" s="19"/>
      <c r="Q32" s="20">
        <f t="shared" si="13"/>
        <v>720805000</v>
      </c>
      <c r="R32" s="233">
        <v>30.23</v>
      </c>
      <c r="S32" s="18">
        <v>180941300</v>
      </c>
      <c r="T32" s="168">
        <f>S32/Q32*100</f>
        <v>25.102669931534884</v>
      </c>
      <c r="U32" s="265">
        <v>36.229999999999997</v>
      </c>
      <c r="V32" s="24">
        <v>47</v>
      </c>
      <c r="W32" s="303"/>
      <c r="X32" s="276"/>
      <c r="Y32" s="192">
        <f t="shared" si="14"/>
        <v>3.6815544878031985</v>
      </c>
      <c r="Z32" s="185">
        <f t="shared" si="15"/>
        <v>29.421332767333077</v>
      </c>
      <c r="AA32" s="191">
        <f t="shared" si="16"/>
        <v>1.7303306092675033</v>
      </c>
      <c r="AB32" s="201">
        <f t="shared" si="17"/>
        <v>13.828026400646545</v>
      </c>
      <c r="AC32" s="36">
        <v>95</v>
      </c>
      <c r="AD32" s="36"/>
      <c r="AE32" s="38"/>
      <c r="AF32" s="36"/>
      <c r="AG32" s="36"/>
      <c r="AH32" s="36"/>
      <c r="AI32" s="36"/>
    </row>
    <row r="33" spans="2:42" ht="15.75" customHeight="1">
      <c r="B33" s="114"/>
      <c r="C33" s="211" t="s">
        <v>30</v>
      </c>
      <c r="D33" s="115" t="s">
        <v>61</v>
      </c>
      <c r="E33" s="14"/>
      <c r="F33" s="14" t="s">
        <v>27</v>
      </c>
      <c r="G33" s="14"/>
      <c r="H33" s="15" t="s">
        <v>67</v>
      </c>
      <c r="I33" s="16"/>
      <c r="J33" s="17"/>
      <c r="K33" s="18">
        <v>216870000</v>
      </c>
      <c r="L33" s="19"/>
      <c r="M33" s="20">
        <f t="shared" si="12"/>
        <v>216870000</v>
      </c>
      <c r="N33" s="14"/>
      <c r="O33" s="18">
        <f>M33</f>
        <v>216870000</v>
      </c>
      <c r="P33" s="19"/>
      <c r="Q33" s="20">
        <f t="shared" si="13"/>
        <v>216870000</v>
      </c>
      <c r="R33" s="233">
        <v>30.63</v>
      </c>
      <c r="S33" s="18">
        <v>7767000</v>
      </c>
      <c r="T33" s="168">
        <f>S33/Q33*100</f>
        <v>3.5814082169041361</v>
      </c>
      <c r="U33" s="265">
        <v>36.020000000000003</v>
      </c>
      <c r="V33" s="24">
        <v>68</v>
      </c>
      <c r="W33" s="303"/>
      <c r="X33" s="276"/>
      <c r="Y33" s="192">
        <f t="shared" si="14"/>
        <v>1.1076764475411238</v>
      </c>
      <c r="Z33" s="185">
        <f t="shared" si="15"/>
        <v>8.8520535196780319</v>
      </c>
      <c r="AA33" s="191">
        <f t="shared" si="16"/>
        <v>0.75321998432796422</v>
      </c>
      <c r="AB33" s="201">
        <f t="shared" si="17"/>
        <v>6.0193963933810615</v>
      </c>
      <c r="AC33" s="36">
        <v>95</v>
      </c>
      <c r="AD33" s="36"/>
      <c r="AE33" s="38"/>
      <c r="AF33" s="36"/>
      <c r="AG33" s="36"/>
      <c r="AH33" s="36"/>
      <c r="AI33" s="36"/>
    </row>
    <row r="34" spans="2:42" ht="15.75" customHeight="1">
      <c r="B34" s="114"/>
      <c r="C34" s="211" t="s">
        <v>30</v>
      </c>
      <c r="D34" s="115" t="s">
        <v>62</v>
      </c>
      <c r="E34" s="14"/>
      <c r="F34" s="14" t="s">
        <v>27</v>
      </c>
      <c r="G34" s="14"/>
      <c r="H34" s="15" t="s">
        <v>67</v>
      </c>
      <c r="I34" s="16"/>
      <c r="J34" s="17"/>
      <c r="K34" s="18">
        <v>439200000</v>
      </c>
      <c r="L34" s="19"/>
      <c r="M34" s="20">
        <f t="shared" si="12"/>
        <v>439200000</v>
      </c>
      <c r="N34" s="14"/>
      <c r="O34" s="18">
        <f>M34</f>
        <v>439200000</v>
      </c>
      <c r="P34" s="19"/>
      <c r="Q34" s="20">
        <f t="shared" si="13"/>
        <v>439200000</v>
      </c>
      <c r="R34" s="233">
        <v>31.31</v>
      </c>
      <c r="S34" s="18">
        <v>111092600</v>
      </c>
      <c r="T34" s="168">
        <f>S34/Q34*100</f>
        <v>25.294307832422586</v>
      </c>
      <c r="U34" s="265">
        <v>35.159999999999997</v>
      </c>
      <c r="V34" s="24">
        <v>67</v>
      </c>
      <c r="W34" s="303"/>
      <c r="X34" s="276"/>
      <c r="Y34" s="192">
        <f t="shared" si="14"/>
        <v>2.2432401704249623</v>
      </c>
      <c r="Z34" s="185">
        <f t="shared" si="15"/>
        <v>17.926969640072819</v>
      </c>
      <c r="AA34" s="191">
        <f t="shared" si="16"/>
        <v>1.5029709141847247</v>
      </c>
      <c r="AB34" s="201">
        <f t="shared" si="17"/>
        <v>12.01106965884879</v>
      </c>
      <c r="AC34" s="36">
        <v>95</v>
      </c>
      <c r="AD34" s="36"/>
      <c r="AE34" s="38"/>
      <c r="AF34" s="36"/>
      <c r="AG34" s="36"/>
      <c r="AH34" s="36"/>
      <c r="AI34" s="36"/>
    </row>
    <row r="35" spans="2:42" ht="15.75" customHeight="1">
      <c r="B35" s="313"/>
      <c r="C35" s="314"/>
      <c r="D35" s="315"/>
      <c r="E35" s="316"/>
      <c r="F35" s="316"/>
      <c r="G35" s="316"/>
      <c r="H35" s="317"/>
      <c r="I35" s="318"/>
      <c r="J35" s="319"/>
      <c r="K35" s="320"/>
      <c r="L35" s="321"/>
      <c r="M35" s="322"/>
      <c r="N35" s="316"/>
      <c r="O35" s="320"/>
      <c r="P35" s="321"/>
      <c r="Q35" s="322"/>
      <c r="R35" s="323"/>
      <c r="S35" s="320"/>
      <c r="T35" s="324"/>
      <c r="U35" s="25"/>
      <c r="V35" s="325"/>
      <c r="W35" s="303"/>
      <c r="X35" s="276"/>
      <c r="Y35" s="192"/>
      <c r="Z35" s="185"/>
      <c r="AA35" s="191"/>
      <c r="AC35" s="36"/>
      <c r="AD35" s="36"/>
      <c r="AE35" s="38"/>
      <c r="AF35" s="36"/>
      <c r="AG35" s="36"/>
      <c r="AH35" s="36"/>
      <c r="AI35" s="36"/>
    </row>
    <row r="36" spans="2:42" ht="15.75" customHeight="1">
      <c r="B36" s="153"/>
      <c r="C36" s="213"/>
      <c r="D36" s="154" t="s">
        <v>53</v>
      </c>
      <c r="E36" s="155"/>
      <c r="F36" s="155"/>
      <c r="G36" s="155"/>
      <c r="H36" s="156"/>
      <c r="I36" s="157"/>
      <c r="J36" s="158"/>
      <c r="K36" s="159">
        <f>SUM(K37:K42)</f>
        <v>6738928000</v>
      </c>
      <c r="L36" s="160"/>
      <c r="M36" s="161">
        <f t="shared" ref="M36:M42" si="18">K36</f>
        <v>6738928000</v>
      </c>
      <c r="N36" s="155"/>
      <c r="O36" s="159">
        <f>SUM(O37:O42)</f>
        <v>6738928000</v>
      </c>
      <c r="P36" s="160"/>
      <c r="Q36" s="161">
        <f>O36</f>
        <v>6738928000</v>
      </c>
      <c r="R36" s="235">
        <v>60.21</v>
      </c>
      <c r="S36" s="159">
        <f>SUM(S37:S42)</f>
        <v>3455126600</v>
      </c>
      <c r="T36" s="172">
        <f t="shared" ref="T36:T42" si="19">S36/Q36*100</f>
        <v>51.271160635638189</v>
      </c>
      <c r="U36" s="162">
        <v>66.209999999999994</v>
      </c>
      <c r="V36" s="163">
        <f>AB36</f>
        <v>53.034651357011086</v>
      </c>
      <c r="W36" s="303">
        <f>Q36-S36</f>
        <v>3283801400</v>
      </c>
      <c r="X36" s="276">
        <f>Q36/$Q$15*100</f>
        <v>34.419476309657441</v>
      </c>
      <c r="Y36" s="192">
        <f t="shared" ref="Y36:Y42" si="20">M36/$M$15*100</f>
        <v>34.419476309657441</v>
      </c>
      <c r="Z36" s="185">
        <f>SUM(Z37:Z42)</f>
        <v>100.00000000000001</v>
      </c>
      <c r="AA36" s="192">
        <f>SUM(AA37:AA42)</f>
        <v>18.254249259735854</v>
      </c>
      <c r="AB36" s="185">
        <f>SUM(AB37:AB42)</f>
        <v>53.034651357011086</v>
      </c>
      <c r="AC36" s="36">
        <f>S36/Q36*100</f>
        <v>51.271160635638189</v>
      </c>
      <c r="AD36" s="36"/>
      <c r="AE36" s="38" t="s">
        <v>69</v>
      </c>
      <c r="AF36" s="36" t="s">
        <v>70</v>
      </c>
      <c r="AG36" s="36" t="s">
        <v>71</v>
      </c>
      <c r="AH36" s="36"/>
      <c r="AI36" s="36"/>
      <c r="AO36" s="244">
        <f>SUM(AO37:AO42)</f>
        <v>269557120</v>
      </c>
      <c r="AP36" s="1">
        <f>AO36/$K$11*100</f>
        <v>1.3767790523862977</v>
      </c>
    </row>
    <row r="37" spans="2:42" ht="15.75" customHeight="1">
      <c r="B37" s="118"/>
      <c r="C37" s="210" t="s">
        <v>30</v>
      </c>
      <c r="D37" s="119" t="s">
        <v>68</v>
      </c>
      <c r="E37" s="120"/>
      <c r="F37" s="120" t="s">
        <v>28</v>
      </c>
      <c r="G37" s="120"/>
      <c r="H37" s="121" t="s">
        <v>65</v>
      </c>
      <c r="I37" s="122"/>
      <c r="J37" s="123"/>
      <c r="K37" s="124">
        <v>3198206000</v>
      </c>
      <c r="L37" s="125"/>
      <c r="M37" s="126">
        <f t="shared" si="18"/>
        <v>3198206000</v>
      </c>
      <c r="N37" s="120"/>
      <c r="O37" s="124">
        <f t="shared" ref="O37:O42" si="21">M37</f>
        <v>3198206000</v>
      </c>
      <c r="P37" s="125"/>
      <c r="Q37" s="126">
        <f t="shared" si="4"/>
        <v>3198206000</v>
      </c>
      <c r="R37" s="232">
        <v>58</v>
      </c>
      <c r="S37" s="124">
        <f>AH37</f>
        <v>1544852200</v>
      </c>
      <c r="T37" s="170">
        <f t="shared" si="19"/>
        <v>48.303711518269935</v>
      </c>
      <c r="U37" s="264">
        <v>64</v>
      </c>
      <c r="V37" s="128">
        <v>49</v>
      </c>
      <c r="W37" s="303"/>
      <c r="X37" s="276"/>
      <c r="Y37" s="192">
        <f t="shared" si="20"/>
        <v>16.335027715150584</v>
      </c>
      <c r="Z37" s="185">
        <f t="shared" ref="Z37:Z42" si="22">M37/$M$36*100</f>
        <v>47.458675919968279</v>
      </c>
      <c r="AA37" s="191">
        <f t="shared" ref="AA37:AA42" si="23">V37*Y37/100</f>
        <v>8.0041635804237856</v>
      </c>
      <c r="AB37" s="201">
        <f t="shared" ref="AB37:AB42" si="24">V37*Z37/100</f>
        <v>23.254751200784458</v>
      </c>
      <c r="AC37" s="236">
        <v>94.3</v>
      </c>
      <c r="AD37" s="36"/>
      <c r="AE37" s="38">
        <v>869240000</v>
      </c>
      <c r="AF37" s="38">
        <v>413179800</v>
      </c>
      <c r="AG37" s="38">
        <v>262432400</v>
      </c>
      <c r="AH37" s="39">
        <f>SUM(AE37:AG37)</f>
        <v>1544852200</v>
      </c>
      <c r="AI37" s="36"/>
      <c r="AO37" s="266">
        <f t="shared" ref="AO37:AO42" si="25">Q37*0.04</f>
        <v>127928240</v>
      </c>
    </row>
    <row r="38" spans="2:42" ht="15.75" customHeight="1">
      <c r="B38" s="114"/>
      <c r="C38" s="211" t="s">
        <v>30</v>
      </c>
      <c r="D38" s="115" t="s">
        <v>58</v>
      </c>
      <c r="E38" s="14"/>
      <c r="F38" s="14" t="s">
        <v>28</v>
      </c>
      <c r="G38" s="14"/>
      <c r="H38" s="15" t="s">
        <v>66</v>
      </c>
      <c r="I38" s="16"/>
      <c r="J38" s="17"/>
      <c r="K38" s="18">
        <v>1217495000</v>
      </c>
      <c r="L38" s="19"/>
      <c r="M38" s="20">
        <f t="shared" si="18"/>
        <v>1217495000</v>
      </c>
      <c r="N38" s="14"/>
      <c r="O38" s="18">
        <f t="shared" si="21"/>
        <v>1217495000</v>
      </c>
      <c r="P38" s="19"/>
      <c r="Q38" s="20">
        <f t="shared" si="4"/>
        <v>1217495000</v>
      </c>
      <c r="R38" s="233">
        <v>58</v>
      </c>
      <c r="S38" s="18">
        <v>588632000</v>
      </c>
      <c r="T38" s="168">
        <f t="shared" si="19"/>
        <v>48.347796089511661</v>
      </c>
      <c r="U38" s="265">
        <v>64</v>
      </c>
      <c r="V38" s="24">
        <v>49</v>
      </c>
      <c r="W38" s="303"/>
      <c r="X38" s="276"/>
      <c r="Y38" s="192">
        <f t="shared" si="20"/>
        <v>6.2184282588605182</v>
      </c>
      <c r="Z38" s="185">
        <f t="shared" si="22"/>
        <v>18.066597535987921</v>
      </c>
      <c r="AA38" s="191">
        <f t="shared" si="23"/>
        <v>3.0470298468416543</v>
      </c>
      <c r="AB38" s="201">
        <f t="shared" si="24"/>
        <v>8.8526327926340809</v>
      </c>
      <c r="AC38" s="236">
        <v>99.5</v>
      </c>
      <c r="AD38" s="36"/>
      <c r="AE38" s="38">
        <v>54660000</v>
      </c>
      <c r="AF38" s="257">
        <v>21240000</v>
      </c>
      <c r="AG38" s="36">
        <v>12780000</v>
      </c>
      <c r="AH38" s="39">
        <f>SUM(AE38:AG38)</f>
        <v>88680000</v>
      </c>
      <c r="AI38" s="36"/>
      <c r="AO38" s="266">
        <f t="shared" si="25"/>
        <v>48699800</v>
      </c>
    </row>
    <row r="39" spans="2:42" ht="15.75" customHeight="1">
      <c r="B39" s="114"/>
      <c r="C39" s="211" t="s">
        <v>30</v>
      </c>
      <c r="D39" s="115" t="s">
        <v>59</v>
      </c>
      <c r="E39" s="14"/>
      <c r="F39" s="14" t="s">
        <v>28</v>
      </c>
      <c r="G39" s="14"/>
      <c r="H39" s="15" t="s">
        <v>66</v>
      </c>
      <c r="I39" s="16"/>
      <c r="J39" s="17"/>
      <c r="K39" s="18">
        <v>531248000</v>
      </c>
      <c r="L39" s="19"/>
      <c r="M39" s="20">
        <f t="shared" si="18"/>
        <v>531248000</v>
      </c>
      <c r="N39" s="14"/>
      <c r="O39" s="18">
        <f t="shared" si="21"/>
        <v>531248000</v>
      </c>
      <c r="P39" s="19"/>
      <c r="Q39" s="20">
        <f t="shared" si="4"/>
        <v>531248000</v>
      </c>
      <c r="R39" s="233">
        <v>58</v>
      </c>
      <c r="S39" s="18">
        <v>98370400</v>
      </c>
      <c r="T39" s="168">
        <f t="shared" si="19"/>
        <v>18.516850886968044</v>
      </c>
      <c r="U39" s="265">
        <v>64</v>
      </c>
      <c r="V39" s="24">
        <v>32</v>
      </c>
      <c r="W39" s="303"/>
      <c r="X39" s="276"/>
      <c r="Y39" s="192">
        <f t="shared" si="20"/>
        <v>2.7133808152502739</v>
      </c>
      <c r="Z39" s="185">
        <f t="shared" si="22"/>
        <v>7.8832716420178404</v>
      </c>
      <c r="AA39" s="191">
        <f t="shared" si="23"/>
        <v>0.86828186088008763</v>
      </c>
      <c r="AB39" s="201">
        <f t="shared" si="24"/>
        <v>2.5226469254457089</v>
      </c>
      <c r="AC39" s="236">
        <v>64.8</v>
      </c>
      <c r="AD39" s="36"/>
      <c r="AE39" s="38">
        <v>9082000</v>
      </c>
      <c r="AF39" s="38">
        <v>5850700</v>
      </c>
      <c r="AG39" s="38">
        <v>4271000</v>
      </c>
      <c r="AH39" s="223">
        <v>8407000</v>
      </c>
      <c r="AI39" s="223">
        <v>3938000</v>
      </c>
      <c r="AJ39" s="223">
        <v>6178000</v>
      </c>
      <c r="AK39" s="223">
        <v>2939500</v>
      </c>
      <c r="AL39" s="223">
        <v>2476800</v>
      </c>
      <c r="AO39" s="266">
        <f t="shared" si="25"/>
        <v>21249920</v>
      </c>
    </row>
    <row r="40" spans="2:42" ht="15.75" customHeight="1">
      <c r="B40" s="114"/>
      <c r="C40" s="211" t="s">
        <v>30</v>
      </c>
      <c r="D40" s="115" t="s">
        <v>60</v>
      </c>
      <c r="E40" s="14"/>
      <c r="F40" s="14" t="s">
        <v>28</v>
      </c>
      <c r="G40" s="14"/>
      <c r="H40" s="15" t="s">
        <v>66</v>
      </c>
      <c r="I40" s="16"/>
      <c r="J40" s="17"/>
      <c r="K40" s="18">
        <v>1094350000</v>
      </c>
      <c r="L40" s="19"/>
      <c r="M40" s="20">
        <f t="shared" si="18"/>
        <v>1094350000</v>
      </c>
      <c r="N40" s="14"/>
      <c r="O40" s="18">
        <f t="shared" si="21"/>
        <v>1094350000</v>
      </c>
      <c r="P40" s="19"/>
      <c r="Q40" s="20">
        <f t="shared" si="4"/>
        <v>1094350000</v>
      </c>
      <c r="R40" s="233">
        <v>66</v>
      </c>
      <c r="S40" s="18">
        <v>601335800</v>
      </c>
      <c r="T40" s="168">
        <f t="shared" si="19"/>
        <v>54.949129620322566</v>
      </c>
      <c r="U40" s="265">
        <v>72</v>
      </c>
      <c r="V40" s="24">
        <v>56</v>
      </c>
      <c r="W40" s="303"/>
      <c r="X40" s="276"/>
      <c r="Y40" s="192">
        <f t="shared" si="20"/>
        <v>5.5894578335713963</v>
      </c>
      <c r="Z40" s="185">
        <f t="shared" si="22"/>
        <v>16.239229740991444</v>
      </c>
      <c r="AA40" s="191">
        <f t="shared" si="23"/>
        <v>3.1300963867999823</v>
      </c>
      <c r="AB40" s="201">
        <f t="shared" si="24"/>
        <v>9.0939686549552086</v>
      </c>
      <c r="AC40" s="236">
        <v>80.5</v>
      </c>
      <c r="AD40" s="36"/>
      <c r="AE40" s="241">
        <v>8407000</v>
      </c>
      <c r="AF40" s="224">
        <v>3938000</v>
      </c>
      <c r="AG40" s="224">
        <v>6178000</v>
      </c>
      <c r="AH40" s="224">
        <v>2939500</v>
      </c>
      <c r="AI40" s="224">
        <v>2476800</v>
      </c>
      <c r="AO40" s="266">
        <f t="shared" si="25"/>
        <v>43774000</v>
      </c>
    </row>
    <row r="41" spans="2:42" ht="15.75" customHeight="1">
      <c r="B41" s="114"/>
      <c r="C41" s="211" t="s">
        <v>30</v>
      </c>
      <c r="D41" s="115" t="s">
        <v>61</v>
      </c>
      <c r="E41" s="14"/>
      <c r="F41" s="14" t="s">
        <v>28</v>
      </c>
      <c r="G41" s="14"/>
      <c r="H41" s="15" t="s">
        <v>67</v>
      </c>
      <c r="I41" s="16"/>
      <c r="J41" s="17"/>
      <c r="K41" s="18">
        <v>392327000</v>
      </c>
      <c r="L41" s="19"/>
      <c r="M41" s="20">
        <f t="shared" si="18"/>
        <v>392327000</v>
      </c>
      <c r="N41" s="14"/>
      <c r="O41" s="18">
        <f t="shared" si="21"/>
        <v>392327000</v>
      </c>
      <c r="P41" s="19"/>
      <c r="Q41" s="20">
        <f t="shared" si="4"/>
        <v>392327000</v>
      </c>
      <c r="R41" s="233">
        <v>65</v>
      </c>
      <c r="S41" s="18">
        <v>334133400</v>
      </c>
      <c r="T41" s="168">
        <f t="shared" si="19"/>
        <v>85.167067267865832</v>
      </c>
      <c r="U41" s="265">
        <v>71</v>
      </c>
      <c r="V41" s="24">
        <v>86</v>
      </c>
      <c r="W41" s="303"/>
      <c r="X41" s="276"/>
      <c r="Y41" s="192">
        <f t="shared" si="20"/>
        <v>2.0038335299233019</v>
      </c>
      <c r="Z41" s="185">
        <f t="shared" si="22"/>
        <v>5.8218013310128853</v>
      </c>
      <c r="AA41" s="191">
        <f t="shared" si="23"/>
        <v>1.7232968357340397</v>
      </c>
      <c r="AB41" s="201">
        <f t="shared" si="24"/>
        <v>5.0067491446710815</v>
      </c>
      <c r="AC41" s="236">
        <v>98.6</v>
      </c>
      <c r="AD41" s="36"/>
      <c r="AE41" s="248">
        <v>516919580</v>
      </c>
      <c r="AF41" s="36">
        <v>511689550</v>
      </c>
      <c r="AG41" s="39">
        <f>AE41-AF41</f>
        <v>5230030</v>
      </c>
      <c r="AH41" s="242">
        <v>217050</v>
      </c>
      <c r="AI41" s="243">
        <f>AF41+AH41</f>
        <v>511906600</v>
      </c>
      <c r="AJ41" s="1">
        <v>644000</v>
      </c>
      <c r="AL41" s="244">
        <f>AH41+AI41</f>
        <v>512123650</v>
      </c>
      <c r="AM41" s="247">
        <f>AE41-AL41</f>
        <v>4795930</v>
      </c>
      <c r="AO41" s="266">
        <f t="shared" si="25"/>
        <v>15693080</v>
      </c>
    </row>
    <row r="42" spans="2:42" ht="15.75" customHeight="1">
      <c r="B42" s="114"/>
      <c r="C42" s="211" t="s">
        <v>30</v>
      </c>
      <c r="D42" s="115" t="s">
        <v>62</v>
      </c>
      <c r="E42" s="14"/>
      <c r="F42" s="14" t="s">
        <v>28</v>
      </c>
      <c r="G42" s="14"/>
      <c r="H42" s="15" t="s">
        <v>67</v>
      </c>
      <c r="I42" s="16"/>
      <c r="J42" s="17"/>
      <c r="K42" s="18">
        <v>305302000</v>
      </c>
      <c r="L42" s="19"/>
      <c r="M42" s="20">
        <f t="shared" si="18"/>
        <v>305302000</v>
      </c>
      <c r="N42" s="14"/>
      <c r="O42" s="18">
        <f t="shared" si="21"/>
        <v>305302000</v>
      </c>
      <c r="P42" s="19"/>
      <c r="Q42" s="20">
        <f t="shared" si="4"/>
        <v>305302000</v>
      </c>
      <c r="R42" s="233">
        <v>69</v>
      </c>
      <c r="S42" s="18">
        <v>287802800</v>
      </c>
      <c r="T42" s="168">
        <f t="shared" si="19"/>
        <v>94.26823276624458</v>
      </c>
      <c r="U42" s="265">
        <v>75</v>
      </c>
      <c r="V42" s="24">
        <v>95</v>
      </c>
      <c r="W42" s="303"/>
      <c r="X42" s="276"/>
      <c r="Y42" s="192">
        <f t="shared" si="20"/>
        <v>1.5593481569013703</v>
      </c>
      <c r="Z42" s="185">
        <f t="shared" si="22"/>
        <v>4.5304238300216291</v>
      </c>
      <c r="AA42" s="191">
        <f t="shared" si="23"/>
        <v>1.481380749056302</v>
      </c>
      <c r="AB42" s="201">
        <f t="shared" si="24"/>
        <v>4.3039026385205474</v>
      </c>
      <c r="AC42" s="236">
        <v>99</v>
      </c>
      <c r="AD42" s="36"/>
      <c r="AE42" s="248">
        <v>1025333480</v>
      </c>
      <c r="AF42" s="36">
        <v>1004684150</v>
      </c>
      <c r="AG42" s="39">
        <f>AE42-AF42</f>
        <v>20649330</v>
      </c>
      <c r="AH42" s="242">
        <v>206700</v>
      </c>
      <c r="AI42" s="243">
        <f>AF42+AH42</f>
        <v>1004890850</v>
      </c>
      <c r="AJ42" s="1">
        <v>9328000</v>
      </c>
      <c r="AK42" s="1">
        <v>7089500</v>
      </c>
      <c r="AL42" s="244">
        <f>AI42+AJ42+AK42</f>
        <v>1021308350</v>
      </c>
      <c r="AM42" s="247">
        <f>AE42-AL42</f>
        <v>4025130</v>
      </c>
      <c r="AO42" s="266">
        <f t="shared" si="25"/>
        <v>12212080</v>
      </c>
    </row>
    <row r="43" spans="2:42" ht="15.75" customHeight="1">
      <c r="B43" s="114"/>
      <c r="C43" s="211"/>
      <c r="D43" s="115"/>
      <c r="E43" s="14"/>
      <c r="F43" s="14"/>
      <c r="G43" s="14"/>
      <c r="H43" s="15"/>
      <c r="I43" s="16"/>
      <c r="J43" s="17"/>
      <c r="K43" s="18"/>
      <c r="L43" s="19"/>
      <c r="M43" s="20"/>
      <c r="N43" s="14"/>
      <c r="O43" s="18"/>
      <c r="P43" s="19"/>
      <c r="Q43" s="20"/>
      <c r="R43" s="233"/>
      <c r="S43" s="18"/>
      <c r="T43" s="168"/>
      <c r="U43" s="265"/>
      <c r="V43" s="24"/>
      <c r="W43" s="303"/>
      <c r="X43" s="276"/>
      <c r="Y43" s="192"/>
      <c r="Z43" s="185"/>
      <c r="AA43" s="191"/>
      <c r="AB43" s="201"/>
      <c r="AC43" s="236"/>
      <c r="AD43" s="36"/>
      <c r="AE43" s="248"/>
      <c r="AF43" s="36"/>
      <c r="AG43" s="39"/>
      <c r="AH43" s="242"/>
      <c r="AI43" s="243"/>
      <c r="AL43" s="244"/>
      <c r="AM43" s="247"/>
      <c r="AO43" s="266"/>
    </row>
    <row r="44" spans="2:42" ht="15.75" customHeight="1" thickBot="1">
      <c r="B44" s="129"/>
      <c r="C44" s="263" t="s">
        <v>99</v>
      </c>
      <c r="D44" s="130" t="s">
        <v>105</v>
      </c>
      <c r="E44" s="131"/>
      <c r="F44" s="131"/>
      <c r="G44" s="131"/>
      <c r="H44" s="132"/>
      <c r="I44" s="133"/>
      <c r="J44" s="134"/>
      <c r="K44" s="135">
        <f>SUM(K45:K50)</f>
        <v>560412000</v>
      </c>
      <c r="L44" s="136"/>
      <c r="M44" s="137">
        <f t="shared" ref="M44:M50" si="26">K44</f>
        <v>560412000</v>
      </c>
      <c r="N44" s="131"/>
      <c r="O44" s="135">
        <f>SUM(O45:O50)</f>
        <v>560412000</v>
      </c>
      <c r="P44" s="136"/>
      <c r="Q44" s="137">
        <f>O44</f>
        <v>560412000</v>
      </c>
      <c r="R44" s="231">
        <f>SUM(R45:R50)/6</f>
        <v>40</v>
      </c>
      <c r="S44" s="135">
        <f>SUM(S45:S50)</f>
        <v>324247000</v>
      </c>
      <c r="T44" s="169">
        <f>S44/Q44*100</f>
        <v>57.858682540702198</v>
      </c>
      <c r="U44" s="140">
        <v>46</v>
      </c>
      <c r="V44" s="141">
        <f>AB44</f>
        <v>59.770490282149566</v>
      </c>
      <c r="W44" s="303">
        <f>Q44-S44</f>
        <v>236165000</v>
      </c>
      <c r="X44" s="276">
        <f>Q44/$Q$15*100</f>
        <v>2.8623376830332283</v>
      </c>
      <c r="Y44" s="192">
        <f t="shared" ref="Y44:Y50" si="27">M44/$M$15*100</f>
        <v>2.8623376830332283</v>
      </c>
      <c r="Z44" s="181">
        <f>SUM(Z45:Z50)</f>
        <v>100</v>
      </c>
      <c r="AA44" s="192">
        <f>SUM(AA45:AA50)</f>
        <v>1.7108332666796806</v>
      </c>
      <c r="AB44" s="222">
        <f>SUM(AB45:AB50)</f>
        <v>59.770490282149566</v>
      </c>
      <c r="AD44" s="36"/>
      <c r="AE44" s="38" t="s">
        <v>69</v>
      </c>
      <c r="AF44" s="36" t="s">
        <v>70</v>
      </c>
      <c r="AG44" s="36" t="s">
        <v>71</v>
      </c>
      <c r="AH44" s="36"/>
      <c r="AI44" s="36"/>
      <c r="AO44" s="244">
        <f>Q44*0.25</f>
        <v>140103000</v>
      </c>
      <c r="AP44" s="1">
        <f>AO44/$K$11*100</f>
        <v>0.71558442075830708</v>
      </c>
    </row>
    <row r="45" spans="2:42" ht="15.75" customHeight="1">
      <c r="B45" s="118"/>
      <c r="C45" s="210" t="s">
        <v>30</v>
      </c>
      <c r="D45" s="119" t="s">
        <v>64</v>
      </c>
      <c r="E45" s="120"/>
      <c r="F45" s="120" t="s">
        <v>28</v>
      </c>
      <c r="G45" s="120"/>
      <c r="H45" s="121" t="s">
        <v>65</v>
      </c>
      <c r="I45" s="122"/>
      <c r="J45" s="123"/>
      <c r="K45" s="124">
        <v>248653000</v>
      </c>
      <c r="L45" s="125"/>
      <c r="M45" s="126">
        <f t="shared" si="26"/>
        <v>248653000</v>
      </c>
      <c r="N45" s="120"/>
      <c r="O45" s="124">
        <f t="shared" ref="O45:O50" si="28">M45</f>
        <v>248653000</v>
      </c>
      <c r="P45" s="125"/>
      <c r="Q45" s="126">
        <f t="shared" ref="Q45:Q50" si="29">O45+P45</f>
        <v>248653000</v>
      </c>
      <c r="R45" s="232">
        <v>40</v>
      </c>
      <c r="S45" s="269">
        <f>AH45</f>
        <v>133087000</v>
      </c>
      <c r="T45" s="170">
        <f t="shared" ref="T45:T50" si="30">S45/Q45*100</f>
        <v>53.523182909516478</v>
      </c>
      <c r="U45" s="264">
        <v>46</v>
      </c>
      <c r="V45" s="128">
        <v>55</v>
      </c>
      <c r="W45" s="303"/>
      <c r="X45" s="276"/>
      <c r="Y45" s="192">
        <f t="shared" si="27"/>
        <v>1.2700100138813255</v>
      </c>
      <c r="Z45" s="185">
        <f t="shared" ref="Z45:Z50" si="31">M45/$M$44*100</f>
        <v>44.369678022597661</v>
      </c>
      <c r="AA45" s="191">
        <f t="shared" ref="AA45:AA50" si="32">V45*Y45/100</f>
        <v>0.69850550763472907</v>
      </c>
      <c r="AB45" s="201">
        <f t="shared" ref="AB45:AB50" si="33">V45*Z45/100</f>
        <v>24.403322912428713</v>
      </c>
      <c r="AC45" s="238">
        <v>172661455</v>
      </c>
      <c r="AD45" s="36"/>
      <c r="AE45" s="38">
        <v>62847000</v>
      </c>
      <c r="AF45" s="38">
        <v>44113000</v>
      </c>
      <c r="AG45" s="38">
        <v>26127000</v>
      </c>
      <c r="AH45" s="39">
        <f>SUM(AE45:AG45)</f>
        <v>133087000</v>
      </c>
      <c r="AI45" s="36"/>
    </row>
    <row r="46" spans="2:42" ht="15.75" customHeight="1">
      <c r="B46" s="114"/>
      <c r="C46" s="211" t="s">
        <v>30</v>
      </c>
      <c r="D46" s="115" t="s">
        <v>58</v>
      </c>
      <c r="E46" s="14"/>
      <c r="F46" s="14" t="s">
        <v>28</v>
      </c>
      <c r="G46" s="14"/>
      <c r="H46" s="15" t="s">
        <v>66</v>
      </c>
      <c r="I46" s="16"/>
      <c r="J46" s="17"/>
      <c r="K46" s="18">
        <v>103538000</v>
      </c>
      <c r="L46" s="19"/>
      <c r="M46" s="20">
        <f t="shared" si="26"/>
        <v>103538000</v>
      </c>
      <c r="N46" s="14"/>
      <c r="O46" s="18">
        <f t="shared" si="28"/>
        <v>103538000</v>
      </c>
      <c r="P46" s="19"/>
      <c r="Q46" s="20">
        <f t="shared" si="29"/>
        <v>103538000</v>
      </c>
      <c r="R46" s="233">
        <v>40</v>
      </c>
      <c r="S46" s="270">
        <v>53765000</v>
      </c>
      <c r="T46" s="168">
        <f t="shared" si="30"/>
        <v>51.927794626127607</v>
      </c>
      <c r="U46" s="265">
        <v>46</v>
      </c>
      <c r="V46" s="24">
        <v>54</v>
      </c>
      <c r="W46" s="303"/>
      <c r="X46" s="276"/>
      <c r="Y46" s="192">
        <f t="shared" si="27"/>
        <v>0.5288265044750905</v>
      </c>
      <c r="Z46" s="185">
        <f t="shared" si="31"/>
        <v>18.475336002797942</v>
      </c>
      <c r="AA46" s="191">
        <f t="shared" si="32"/>
        <v>0.2855663124165489</v>
      </c>
      <c r="AB46" s="201">
        <f t="shared" si="33"/>
        <v>9.9766814415108893</v>
      </c>
      <c r="AC46" s="38">
        <v>72324290</v>
      </c>
      <c r="AD46" s="36"/>
      <c r="AE46" s="38"/>
      <c r="AF46" s="36"/>
      <c r="AG46" s="36"/>
      <c r="AH46" s="36"/>
      <c r="AI46" s="36"/>
    </row>
    <row r="47" spans="2:42" ht="15.75" customHeight="1">
      <c r="B47" s="114"/>
      <c r="C47" s="211" t="s">
        <v>30</v>
      </c>
      <c r="D47" s="115" t="s">
        <v>59</v>
      </c>
      <c r="E47" s="14"/>
      <c r="F47" s="14" t="s">
        <v>28</v>
      </c>
      <c r="G47" s="14"/>
      <c r="H47" s="15" t="s">
        <v>66</v>
      </c>
      <c r="I47" s="16"/>
      <c r="J47" s="17"/>
      <c r="K47" s="18">
        <v>48583000</v>
      </c>
      <c r="L47" s="19"/>
      <c r="M47" s="20">
        <f t="shared" si="26"/>
        <v>48583000</v>
      </c>
      <c r="N47" s="14"/>
      <c r="O47" s="18">
        <f t="shared" si="28"/>
        <v>48583000</v>
      </c>
      <c r="P47" s="19"/>
      <c r="Q47" s="20">
        <f t="shared" si="29"/>
        <v>48583000</v>
      </c>
      <c r="R47" s="233">
        <v>40</v>
      </c>
      <c r="S47" s="270">
        <v>41009000</v>
      </c>
      <c r="T47" s="168">
        <f t="shared" si="30"/>
        <v>84.410184632484615</v>
      </c>
      <c r="U47" s="265">
        <v>46</v>
      </c>
      <c r="V47" s="24">
        <v>85</v>
      </c>
      <c r="W47" s="303"/>
      <c r="X47" s="276"/>
      <c r="Y47" s="192">
        <f t="shared" si="27"/>
        <v>0.24814056739470841</v>
      </c>
      <c r="Z47" s="185">
        <f t="shared" si="31"/>
        <v>8.6691576911272428</v>
      </c>
      <c r="AA47" s="191">
        <f t="shared" si="32"/>
        <v>0.21091948228550217</v>
      </c>
      <c r="AB47" s="201">
        <f t="shared" si="33"/>
        <v>7.3687840374581564</v>
      </c>
      <c r="AC47" s="38">
        <v>26933350</v>
      </c>
      <c r="AD47" s="36"/>
      <c r="AE47" s="38"/>
      <c r="AF47" s="36"/>
      <c r="AG47" s="36"/>
      <c r="AH47" s="36"/>
      <c r="AI47" s="36"/>
    </row>
    <row r="48" spans="2:42" ht="15.75" customHeight="1">
      <c r="B48" s="114"/>
      <c r="C48" s="211" t="s">
        <v>30</v>
      </c>
      <c r="D48" s="115" t="s">
        <v>60</v>
      </c>
      <c r="E48" s="14"/>
      <c r="F48" s="14" t="s">
        <v>28</v>
      </c>
      <c r="G48" s="14"/>
      <c r="H48" s="15" t="s">
        <v>66</v>
      </c>
      <c r="I48" s="16"/>
      <c r="J48" s="17"/>
      <c r="K48" s="18">
        <v>87306000</v>
      </c>
      <c r="L48" s="19"/>
      <c r="M48" s="20">
        <f t="shared" si="26"/>
        <v>87306000</v>
      </c>
      <c r="N48" s="14"/>
      <c r="O48" s="18">
        <f t="shared" si="28"/>
        <v>87306000</v>
      </c>
      <c r="P48" s="19"/>
      <c r="Q48" s="20">
        <f t="shared" si="29"/>
        <v>87306000</v>
      </c>
      <c r="R48" s="233">
        <v>40</v>
      </c>
      <c r="S48" s="270">
        <v>51344000</v>
      </c>
      <c r="T48" s="168">
        <f t="shared" si="30"/>
        <v>58.809245641765742</v>
      </c>
      <c r="U48" s="265">
        <v>46</v>
      </c>
      <c r="V48" s="24">
        <v>61</v>
      </c>
      <c r="W48" s="303"/>
      <c r="X48" s="276"/>
      <c r="Y48" s="192">
        <f t="shared" si="27"/>
        <v>0.44592059726575994</v>
      </c>
      <c r="Z48" s="185">
        <f t="shared" si="31"/>
        <v>15.578895526862379</v>
      </c>
      <c r="AA48" s="191">
        <f t="shared" si="32"/>
        <v>0.27201156433211354</v>
      </c>
      <c r="AB48" s="201">
        <f t="shared" si="33"/>
        <v>9.5031262713860514</v>
      </c>
      <c r="AC48" s="38">
        <v>53672105</v>
      </c>
      <c r="AD48" s="36"/>
      <c r="AE48" s="38"/>
      <c r="AF48" s="36"/>
      <c r="AG48" s="36"/>
      <c r="AH48" s="36"/>
      <c r="AI48" s="36"/>
      <c r="AK48" s="245" t="s">
        <v>78</v>
      </c>
    </row>
    <row r="49" spans="2:43" ht="15.75" customHeight="1">
      <c r="B49" s="114"/>
      <c r="C49" s="211" t="s">
        <v>30</v>
      </c>
      <c r="D49" s="115" t="s">
        <v>61</v>
      </c>
      <c r="E49" s="14"/>
      <c r="F49" s="14" t="s">
        <v>28</v>
      </c>
      <c r="G49" s="14"/>
      <c r="H49" s="15" t="s">
        <v>67</v>
      </c>
      <c r="I49" s="16"/>
      <c r="J49" s="17"/>
      <c r="K49" s="18">
        <v>36388000</v>
      </c>
      <c r="L49" s="19"/>
      <c r="M49" s="20">
        <f t="shared" si="26"/>
        <v>36388000</v>
      </c>
      <c r="N49" s="14"/>
      <c r="O49" s="18">
        <f t="shared" si="28"/>
        <v>36388000</v>
      </c>
      <c r="P49" s="19"/>
      <c r="Q49" s="20">
        <f t="shared" si="29"/>
        <v>36388000</v>
      </c>
      <c r="R49" s="233">
        <v>40</v>
      </c>
      <c r="S49" s="270">
        <v>22675000</v>
      </c>
      <c r="T49" s="168">
        <f t="shared" si="30"/>
        <v>62.314499285478732</v>
      </c>
      <c r="U49" s="265">
        <v>46</v>
      </c>
      <c r="V49" s="24">
        <v>66</v>
      </c>
      <c r="W49" s="303"/>
      <c r="X49" s="276"/>
      <c r="Y49" s="192">
        <f t="shared" si="27"/>
        <v>0.18585387823639238</v>
      </c>
      <c r="Z49" s="185">
        <f t="shared" si="31"/>
        <v>6.4930800910758508</v>
      </c>
      <c r="AA49" s="191">
        <f t="shared" si="32"/>
        <v>0.12266355963601898</v>
      </c>
      <c r="AB49" s="201">
        <f t="shared" si="33"/>
        <v>4.2854328601100615</v>
      </c>
      <c r="AC49" s="38">
        <v>19188150</v>
      </c>
      <c r="AD49" s="36"/>
      <c r="AE49" s="240">
        <v>19188150</v>
      </c>
      <c r="AF49" s="242">
        <v>18567950</v>
      </c>
      <c r="AG49" s="243">
        <f>AE49-AF49</f>
        <v>620200</v>
      </c>
      <c r="AH49" s="36">
        <v>39000</v>
      </c>
      <c r="AI49" s="36">
        <v>153000</v>
      </c>
      <c r="AJ49" s="1">
        <f>SUM(AH49:AI49)</f>
        <v>192000</v>
      </c>
      <c r="AK49" s="246">
        <f>AG49-AJ49</f>
        <v>428200</v>
      </c>
      <c r="AL49" s="1">
        <v>471750</v>
      </c>
      <c r="AM49" s="1">
        <f>AL49+AJ49</f>
        <v>663750</v>
      </c>
      <c r="AN49" s="244">
        <f>AF49+AM49</f>
        <v>19231700</v>
      </c>
    </row>
    <row r="50" spans="2:43" ht="15.75" customHeight="1">
      <c r="B50" s="114"/>
      <c r="C50" s="211" t="s">
        <v>30</v>
      </c>
      <c r="D50" s="115" t="s">
        <v>62</v>
      </c>
      <c r="E50" s="14"/>
      <c r="F50" s="14" t="s">
        <v>28</v>
      </c>
      <c r="G50" s="14"/>
      <c r="H50" s="15" t="s">
        <v>67</v>
      </c>
      <c r="I50" s="16"/>
      <c r="J50" s="17"/>
      <c r="K50" s="18">
        <v>35944000</v>
      </c>
      <c r="L50" s="19"/>
      <c r="M50" s="20">
        <f t="shared" si="26"/>
        <v>35944000</v>
      </c>
      <c r="N50" s="14"/>
      <c r="O50" s="18">
        <f t="shared" si="28"/>
        <v>35944000</v>
      </c>
      <c r="P50" s="19"/>
      <c r="Q50" s="20">
        <f t="shared" si="29"/>
        <v>35944000</v>
      </c>
      <c r="R50" s="233">
        <v>40</v>
      </c>
      <c r="S50" s="270">
        <v>22367000</v>
      </c>
      <c r="T50" s="168">
        <f t="shared" si="30"/>
        <v>62.227353661250838</v>
      </c>
      <c r="U50" s="265">
        <v>46</v>
      </c>
      <c r="V50" s="24">
        <v>66</v>
      </c>
      <c r="W50" s="303"/>
      <c r="X50" s="276"/>
      <c r="Y50" s="192">
        <f t="shared" si="27"/>
        <v>0.18358612177995182</v>
      </c>
      <c r="Z50" s="185">
        <f t="shared" si="31"/>
        <v>6.4138526655389247</v>
      </c>
      <c r="AA50" s="191">
        <f t="shared" si="32"/>
        <v>0.12116684037476819</v>
      </c>
      <c r="AB50" s="201">
        <f t="shared" si="33"/>
        <v>4.2331427592556903</v>
      </c>
      <c r="AC50" s="38">
        <v>17249300</v>
      </c>
      <c r="AD50" s="36"/>
      <c r="AE50" s="240">
        <v>17249300</v>
      </c>
      <c r="AF50" s="242">
        <v>16789560</v>
      </c>
      <c r="AG50" s="243">
        <f>AE50-AF50</f>
        <v>459740</v>
      </c>
      <c r="AH50" s="36">
        <v>39000</v>
      </c>
      <c r="AI50" s="36">
        <v>153000</v>
      </c>
      <c r="AJ50" s="1">
        <f>SUM(AH50:AI50)</f>
        <v>192000</v>
      </c>
      <c r="AK50" s="246">
        <f>AG50-AJ50</f>
        <v>267740</v>
      </c>
      <c r="AL50" s="1">
        <v>693750</v>
      </c>
      <c r="AM50" s="1">
        <f>AL50+AJ50</f>
        <v>885750</v>
      </c>
      <c r="AN50" s="244">
        <f>AF50+AM50</f>
        <v>17675310</v>
      </c>
    </row>
    <row r="51" spans="2:43" ht="15.75" customHeight="1">
      <c r="B51" s="114"/>
      <c r="C51" s="211"/>
      <c r="D51" s="115"/>
      <c r="E51" s="14"/>
      <c r="F51" s="14"/>
      <c r="G51" s="14"/>
      <c r="H51" s="15"/>
      <c r="I51" s="16"/>
      <c r="J51" s="17"/>
      <c r="K51" s="18"/>
      <c r="L51" s="19"/>
      <c r="M51" s="20"/>
      <c r="N51" s="14"/>
      <c r="O51" s="18"/>
      <c r="P51" s="19"/>
      <c r="Q51" s="20"/>
      <c r="R51" s="233"/>
      <c r="S51" s="18"/>
      <c r="T51" s="168"/>
      <c r="U51" s="265"/>
      <c r="V51" s="24"/>
      <c r="W51" s="303"/>
      <c r="X51" s="276"/>
      <c r="Y51" s="192"/>
      <c r="Z51" s="185"/>
      <c r="AA51" s="191"/>
      <c r="AB51" s="201"/>
      <c r="AC51" s="236"/>
      <c r="AD51" s="36"/>
      <c r="AE51" s="248"/>
      <c r="AF51" s="36"/>
      <c r="AG51" s="39"/>
      <c r="AH51" s="242"/>
      <c r="AI51" s="243"/>
      <c r="AL51" s="244"/>
      <c r="AM51" s="247"/>
      <c r="AO51" s="266"/>
    </row>
    <row r="52" spans="2:43" ht="15.75" customHeight="1" thickBot="1">
      <c r="B52" s="129"/>
      <c r="C52" s="209" t="s">
        <v>98</v>
      </c>
      <c r="D52" s="130" t="s">
        <v>51</v>
      </c>
      <c r="E52" s="131"/>
      <c r="F52" s="131"/>
      <c r="G52" s="131"/>
      <c r="H52" s="132"/>
      <c r="I52" s="133"/>
      <c r="J52" s="134"/>
      <c r="K52" s="135">
        <f>SUM(K53:K56)</f>
        <v>107360000</v>
      </c>
      <c r="L52" s="136"/>
      <c r="M52" s="137">
        <f>K52</f>
        <v>107360000</v>
      </c>
      <c r="N52" s="131"/>
      <c r="O52" s="135">
        <f>SUM(O53:O56)</f>
        <v>107360000</v>
      </c>
      <c r="P52" s="136"/>
      <c r="Q52" s="137">
        <f>O52+P52</f>
        <v>107360000</v>
      </c>
      <c r="R52" s="299">
        <v>40</v>
      </c>
      <c r="S52" s="135">
        <f>SUM(S53:S56)</f>
        <v>48760000</v>
      </c>
      <c r="T52" s="169">
        <f>S52/Q52*100</f>
        <v>45.417287630402384</v>
      </c>
      <c r="U52" s="299">
        <f>SUM(U53:U56)/4</f>
        <v>45</v>
      </c>
      <c r="V52" s="141">
        <f>AB52</f>
        <v>37.119970193740684</v>
      </c>
      <c r="W52" s="303">
        <f>Q52-S52</f>
        <v>58600000</v>
      </c>
      <c r="X52" s="276">
        <f>Q52/$Q$15*100</f>
        <v>0.54834759721499082</v>
      </c>
      <c r="Y52" s="192">
        <f>M52/$M$15*100</f>
        <v>0.54834759721499082</v>
      </c>
      <c r="Z52" s="185">
        <f>SUM(Z53:Z56)</f>
        <v>100</v>
      </c>
      <c r="AA52" s="192">
        <f>SUM(AA53:AA56)</f>
        <v>0.20354646464429779</v>
      </c>
      <c r="AB52" s="222">
        <f>SUM(AB53:AB56)</f>
        <v>37.119970193740684</v>
      </c>
      <c r="AC52" s="36"/>
      <c r="AD52" s="36"/>
      <c r="AE52" s="38"/>
      <c r="AF52" s="36"/>
      <c r="AG52" s="36"/>
      <c r="AH52" s="36"/>
      <c r="AI52" s="36"/>
      <c r="AO52" s="244">
        <f>Q52*0.25</f>
        <v>26840000</v>
      </c>
      <c r="AP52" s="1">
        <f>AO52/$K$11*100</f>
        <v>0.13708689930374771</v>
      </c>
      <c r="AQ52" s="244">
        <f>AO52+AO44</f>
        <v>166943000</v>
      </c>
    </row>
    <row r="53" spans="2:43" ht="15.75" customHeight="1">
      <c r="B53" s="118"/>
      <c r="C53" s="210" t="s">
        <v>30</v>
      </c>
      <c r="D53" s="119" t="s">
        <v>79</v>
      </c>
      <c r="E53" s="120"/>
      <c r="F53" s="120" t="s">
        <v>28</v>
      </c>
      <c r="G53" s="120"/>
      <c r="H53" s="121" t="s">
        <v>63</v>
      </c>
      <c r="I53" s="122"/>
      <c r="J53" s="123"/>
      <c r="K53" s="124">
        <v>64200000</v>
      </c>
      <c r="L53" s="125"/>
      <c r="M53" s="126">
        <f>K53</f>
        <v>64200000</v>
      </c>
      <c r="N53" s="120"/>
      <c r="O53" s="124">
        <f>M53</f>
        <v>64200000</v>
      </c>
      <c r="P53" s="125"/>
      <c r="Q53" s="126">
        <f>O53+P53</f>
        <v>64200000</v>
      </c>
      <c r="R53" s="232">
        <v>40</v>
      </c>
      <c r="S53" s="309">
        <v>32100000</v>
      </c>
      <c r="T53" s="170">
        <f>S53/Q53*100</f>
        <v>50</v>
      </c>
      <c r="U53" s="261">
        <v>45</v>
      </c>
      <c r="V53" s="128">
        <v>40</v>
      </c>
      <c r="W53" s="303"/>
      <c r="X53" s="276"/>
      <c r="Y53" s="192">
        <f>M53/$M$15*100</f>
        <v>0.32790532545829365</v>
      </c>
      <c r="Z53" s="185">
        <f>K53/K52*100</f>
        <v>59.798807749627429</v>
      </c>
      <c r="AA53" s="191">
        <f>V53*Y53/100</f>
        <v>0.13116213018331746</v>
      </c>
      <c r="AB53" s="201">
        <f>V53*Z53/100</f>
        <v>23.91952309985097</v>
      </c>
      <c r="AC53" s="36">
        <v>66.7</v>
      </c>
      <c r="AD53" s="36"/>
      <c r="AE53" s="38"/>
      <c r="AF53" s="36"/>
      <c r="AG53" s="36"/>
      <c r="AH53" s="36"/>
      <c r="AI53" s="36"/>
      <c r="AQ53" s="266">
        <f>AO14-AQ52</f>
        <v>1399362760</v>
      </c>
    </row>
    <row r="54" spans="2:43" ht="15.75" customHeight="1">
      <c r="B54" s="114"/>
      <c r="C54" s="211" t="s">
        <v>30</v>
      </c>
      <c r="D54" s="115" t="s">
        <v>95</v>
      </c>
      <c r="E54" s="14"/>
      <c r="F54" s="14" t="s">
        <v>28</v>
      </c>
      <c r="G54" s="14"/>
      <c r="H54" s="15" t="s">
        <v>63</v>
      </c>
      <c r="I54" s="16"/>
      <c r="J54" s="17"/>
      <c r="K54" s="18">
        <v>10000000</v>
      </c>
      <c r="L54" s="19"/>
      <c r="M54" s="20">
        <f>K54</f>
        <v>10000000</v>
      </c>
      <c r="N54" s="14"/>
      <c r="O54" s="18">
        <f>M54</f>
        <v>10000000</v>
      </c>
      <c r="P54" s="19"/>
      <c r="Q54" s="20">
        <f>O54+P54</f>
        <v>10000000</v>
      </c>
      <c r="R54" s="233">
        <v>40</v>
      </c>
      <c r="S54" s="18">
        <v>0</v>
      </c>
      <c r="T54" s="168">
        <f>S54/Q54*100</f>
        <v>0</v>
      </c>
      <c r="U54" s="262">
        <v>45</v>
      </c>
      <c r="V54" s="24">
        <v>5</v>
      </c>
      <c r="W54" s="303"/>
      <c r="X54" s="276"/>
      <c r="Y54" s="192">
        <f>M54/$M$15*100</f>
        <v>5.1075595865777826E-2</v>
      </c>
      <c r="Z54" s="185">
        <f>M54/$M$52*100</f>
        <v>9.3144560357675115</v>
      </c>
      <c r="AA54" s="191">
        <f>V54*Y54/100</f>
        <v>2.5537797932888911E-3</v>
      </c>
      <c r="AB54" s="201">
        <f>V54*Z54/100</f>
        <v>0.46572280178837561</v>
      </c>
      <c r="AC54" s="36">
        <v>0</v>
      </c>
      <c r="AD54" s="36"/>
      <c r="AE54" s="38"/>
      <c r="AF54" s="36"/>
      <c r="AG54" s="36"/>
      <c r="AH54" s="36"/>
      <c r="AI54" s="36"/>
    </row>
    <row r="55" spans="2:43" ht="15.75" customHeight="1">
      <c r="B55" s="114"/>
      <c r="C55" s="211" t="s">
        <v>30</v>
      </c>
      <c r="D55" s="115" t="s">
        <v>96</v>
      </c>
      <c r="E55" s="14"/>
      <c r="F55" s="120" t="s">
        <v>28</v>
      </c>
      <c r="G55" s="14"/>
      <c r="H55" s="15" t="s">
        <v>63</v>
      </c>
      <c r="I55" s="16"/>
      <c r="J55" s="17"/>
      <c r="K55" s="18">
        <v>8160000</v>
      </c>
      <c r="L55" s="19"/>
      <c r="M55" s="20">
        <f>K55</f>
        <v>8160000</v>
      </c>
      <c r="N55" s="14"/>
      <c r="O55" s="18">
        <f>M55</f>
        <v>8160000</v>
      </c>
      <c r="P55" s="19"/>
      <c r="Q55" s="20">
        <f>O55+P55</f>
        <v>8160000</v>
      </c>
      <c r="R55" s="233">
        <v>40</v>
      </c>
      <c r="S55" s="18">
        <v>4080000</v>
      </c>
      <c r="T55" s="168">
        <f>S55/Q55*100</f>
        <v>50</v>
      </c>
      <c r="U55" s="262">
        <v>45</v>
      </c>
      <c r="V55" s="24">
        <v>45</v>
      </c>
      <c r="W55" s="303"/>
      <c r="X55" s="276"/>
      <c r="Y55" s="192">
        <f>M55/$M$15*100</f>
        <v>4.1677686226474706E-2</v>
      </c>
      <c r="Z55" s="185">
        <f>M55/$M$52*100</f>
        <v>7.6005961251862892</v>
      </c>
      <c r="AA55" s="191">
        <f>V55*Y55/100</f>
        <v>1.8754958801913617E-2</v>
      </c>
      <c r="AB55" s="201">
        <f>V55*Z55/100</f>
        <v>3.4202682563338298</v>
      </c>
      <c r="AC55" s="36">
        <v>63.7</v>
      </c>
      <c r="AD55" s="36"/>
      <c r="AE55" s="38"/>
      <c r="AF55" s="36"/>
      <c r="AG55" s="36"/>
      <c r="AH55" s="36"/>
      <c r="AI55" s="36"/>
    </row>
    <row r="56" spans="2:43" ht="15.75" customHeight="1">
      <c r="B56" s="114"/>
      <c r="C56" s="308" t="s">
        <v>30</v>
      </c>
      <c r="D56" s="115" t="s">
        <v>97</v>
      </c>
      <c r="E56" s="14"/>
      <c r="F56" s="120"/>
      <c r="G56" s="14"/>
      <c r="H56" s="15"/>
      <c r="I56" s="16"/>
      <c r="J56" s="17"/>
      <c r="K56" s="18">
        <v>25000000</v>
      </c>
      <c r="L56" s="19"/>
      <c r="M56" s="20">
        <f>K56</f>
        <v>25000000</v>
      </c>
      <c r="N56" s="14"/>
      <c r="O56" s="18">
        <f>M56</f>
        <v>25000000</v>
      </c>
      <c r="P56" s="19"/>
      <c r="Q56" s="20">
        <f>O56+P56</f>
        <v>25000000</v>
      </c>
      <c r="R56" s="233">
        <v>40</v>
      </c>
      <c r="S56" s="18">
        <v>12580000</v>
      </c>
      <c r="T56" s="168">
        <f>S56/Q56*100</f>
        <v>50.32</v>
      </c>
      <c r="U56" s="307">
        <v>45</v>
      </c>
      <c r="V56" s="24">
        <v>40</v>
      </c>
      <c r="W56" s="303"/>
      <c r="X56" s="276"/>
      <c r="Y56" s="192">
        <f>M56/$M$15*100</f>
        <v>0.12768898966444459</v>
      </c>
      <c r="Z56" s="185">
        <f>K56/K52*100</f>
        <v>23.286140089418776</v>
      </c>
      <c r="AA56" s="191">
        <f>V56*Y56/100</f>
        <v>5.107559586577784E-2</v>
      </c>
      <c r="AB56" s="201">
        <f>V56*Z56/100</f>
        <v>9.3144560357675115</v>
      </c>
      <c r="AC56" s="36"/>
      <c r="AD56" s="36"/>
      <c r="AE56" s="38"/>
      <c r="AF56" s="36"/>
      <c r="AG56" s="36"/>
      <c r="AH56" s="36"/>
      <c r="AI56" s="36"/>
    </row>
    <row r="57" spans="2:43" ht="15.75" customHeight="1" thickBot="1">
      <c r="B57" s="215"/>
      <c r="C57" s="216"/>
      <c r="D57" s="217"/>
      <c r="E57" s="131"/>
      <c r="F57" s="131"/>
      <c r="G57" s="131"/>
      <c r="H57" s="132"/>
      <c r="I57" s="133"/>
      <c r="J57" s="134"/>
      <c r="K57" s="138"/>
      <c r="L57" s="136"/>
      <c r="M57" s="218"/>
      <c r="N57" s="131"/>
      <c r="O57" s="138"/>
      <c r="P57" s="136"/>
      <c r="Q57" s="139"/>
      <c r="R57" s="167"/>
      <c r="S57" s="138"/>
      <c r="T57" s="219"/>
      <c r="U57" s="140"/>
      <c r="V57" s="141"/>
      <c r="W57" s="303"/>
      <c r="X57" s="276"/>
      <c r="Y57" s="190"/>
      <c r="Z57" s="181"/>
      <c r="AA57" s="191"/>
      <c r="AC57" s="36"/>
      <c r="AD57" s="36"/>
      <c r="AE57" s="38"/>
      <c r="AF57" s="36"/>
      <c r="AG57" s="36"/>
      <c r="AH57" s="36"/>
      <c r="AI57" s="36"/>
    </row>
    <row r="58" spans="2:43" s="26" customFormat="1" ht="26.25" customHeight="1" thickBot="1">
      <c r="B58" s="111"/>
      <c r="C58" s="334"/>
      <c r="D58" s="334"/>
      <c r="E58" s="42"/>
      <c r="F58" s="42"/>
      <c r="G58" s="43"/>
      <c r="H58" s="44"/>
      <c r="I58" s="45"/>
      <c r="J58" s="45"/>
      <c r="K58" s="46">
        <f>K15</f>
        <v>19578822000</v>
      </c>
      <c r="L58" s="46">
        <f>SUMIF(C10:C57,"-",L10:L57)</f>
        <v>0</v>
      </c>
      <c r="M58" s="46">
        <f>K58+L58</f>
        <v>19578822000</v>
      </c>
      <c r="N58" s="47"/>
      <c r="O58" s="46">
        <f>O15</f>
        <v>19578822000</v>
      </c>
      <c r="P58" s="46">
        <f>P26+P17+P44+P52</f>
        <v>0</v>
      </c>
      <c r="Q58" s="46">
        <f>Q15</f>
        <v>19578822000</v>
      </c>
      <c r="R58" s="237">
        <f>R11</f>
        <v>49.5</v>
      </c>
      <c r="S58" s="46">
        <f>S15</f>
        <v>9201337900</v>
      </c>
      <c r="T58" s="220">
        <f>S58/Q58*100</f>
        <v>46.996381600486487</v>
      </c>
      <c r="U58" s="48">
        <f>U11</f>
        <v>55.42</v>
      </c>
      <c r="V58" s="49">
        <f>V11</f>
        <v>53.861773195547713</v>
      </c>
      <c r="W58" s="304"/>
      <c r="X58" s="277"/>
      <c r="Y58" s="195"/>
      <c r="Z58" s="226">
        <f>M58-S58</f>
        <v>10377484100</v>
      </c>
      <c r="AA58" s="193">
        <v>80</v>
      </c>
      <c r="AB58" s="200"/>
      <c r="AC58" s="40"/>
      <c r="AD58" s="40"/>
      <c r="AE58" s="41"/>
      <c r="AF58" s="40"/>
      <c r="AG58" s="40"/>
      <c r="AH58" s="40"/>
      <c r="AI58" s="40"/>
    </row>
    <row r="59" spans="2:43" ht="13.5" customHeight="1" thickBot="1">
      <c r="B59" s="50"/>
      <c r="C59" s="51"/>
      <c r="D59" s="52" t="s">
        <v>15</v>
      </c>
      <c r="E59" s="53"/>
      <c r="F59" s="53"/>
      <c r="G59" s="53"/>
      <c r="H59" s="349" t="s">
        <v>16</v>
      </c>
      <c r="I59" s="350"/>
      <c r="J59" s="350"/>
      <c r="K59" s="54"/>
      <c r="L59" s="54"/>
      <c r="M59" s="55"/>
      <c r="N59" s="344"/>
      <c r="O59" s="353"/>
      <c r="P59" s="339" t="s">
        <v>17</v>
      </c>
      <c r="Q59" s="345"/>
      <c r="R59" s="346"/>
      <c r="S59" s="108"/>
      <c r="T59" s="179"/>
      <c r="U59" s="56"/>
      <c r="V59" s="57"/>
      <c r="W59" s="305"/>
      <c r="X59" s="278"/>
      <c r="Z59" s="227">
        <f>Z58-S58</f>
        <v>1176146200</v>
      </c>
      <c r="AA59" s="187">
        <v>80</v>
      </c>
      <c r="AC59" s="36"/>
      <c r="AD59" s="36"/>
      <c r="AE59" s="38"/>
      <c r="AF59" s="36"/>
      <c r="AG59" s="36"/>
      <c r="AH59" s="36"/>
      <c r="AI59" s="36"/>
    </row>
    <row r="60" spans="2:43" ht="13.5" thickBot="1">
      <c r="B60" s="58"/>
      <c r="C60" s="59"/>
      <c r="D60" s="60" t="s">
        <v>18</v>
      </c>
      <c r="E60" s="61"/>
      <c r="F60" s="61"/>
      <c r="G60" s="61"/>
      <c r="H60" s="351"/>
      <c r="I60" s="352"/>
      <c r="J60" s="352"/>
      <c r="K60" s="62"/>
      <c r="L60" s="62"/>
      <c r="M60" s="63"/>
      <c r="N60" s="74"/>
      <c r="O60" s="55">
        <f>SUMIF(N10:N57,#REF!,M10:M57)</f>
        <v>0</v>
      </c>
      <c r="P60" s="54">
        <f>SUMIF(N10:N57,R60,M10:M57)</f>
        <v>0</v>
      </c>
      <c r="Q60" s="73">
        <f>COUNTIF(N10:N57,R60)</f>
        <v>0</v>
      </c>
      <c r="R60" s="173" t="s">
        <v>19</v>
      </c>
      <c r="S60" s="54"/>
      <c r="T60" s="176"/>
      <c r="U60" s="64"/>
      <c r="V60" s="65"/>
      <c r="W60" s="305"/>
      <c r="X60" s="278"/>
      <c r="Z60" s="230">
        <f>S58-32000000</f>
        <v>9169337900</v>
      </c>
      <c r="AA60" s="187">
        <v>80</v>
      </c>
      <c r="AC60" s="36"/>
      <c r="AD60" s="36"/>
      <c r="AE60" s="38"/>
      <c r="AF60" s="36"/>
      <c r="AG60" s="36"/>
      <c r="AH60" s="36"/>
      <c r="AI60" s="36"/>
    </row>
    <row r="61" spans="2:43">
      <c r="B61" s="66"/>
      <c r="C61" s="67"/>
      <c r="D61" s="52" t="s">
        <v>20</v>
      </c>
      <c r="E61" s="68"/>
      <c r="F61" s="68"/>
      <c r="G61" s="53">
        <f>COUNTIF(G10:G57,"F")</f>
        <v>0</v>
      </c>
      <c r="H61" s="75">
        <f>SUMIF(E10:E57,J61,M10:M57)</f>
        <v>0</v>
      </c>
      <c r="I61" s="76">
        <f>COUNTIF(E10:E57,J61)</f>
        <v>0</v>
      </c>
      <c r="J61" s="77" t="s">
        <v>21</v>
      </c>
      <c r="K61" s="54">
        <f>SUMIF(G10:G57,"F",K10:K57)</f>
        <v>0</v>
      </c>
      <c r="L61" s="54">
        <f>SUMIF(H10:H57,"F",L10:L57)</f>
        <v>0</v>
      </c>
      <c r="M61" s="55">
        <f>L61+K61</f>
        <v>0</v>
      </c>
      <c r="N61" s="78"/>
      <c r="O61" s="79">
        <f>SUMIF(N10:N57,#REF!,M10:M57)</f>
        <v>0</v>
      </c>
      <c r="P61" s="75">
        <f>SUMIF(N10:N57,R61,M10:M57)</f>
        <v>0</v>
      </c>
      <c r="Q61" s="76">
        <f>COUNTIF(N10:N57,R61)</f>
        <v>0</v>
      </c>
      <c r="R61" s="174" t="s">
        <v>22</v>
      </c>
      <c r="S61" s="204"/>
      <c r="T61" s="178"/>
      <c r="U61" s="69"/>
      <c r="V61" s="70"/>
      <c r="W61" s="305"/>
      <c r="X61" s="278"/>
      <c r="Y61" s="196"/>
      <c r="AA61" s="187">
        <v>80</v>
      </c>
      <c r="AC61" s="36"/>
      <c r="AD61" s="36"/>
      <c r="AE61" s="38"/>
      <c r="AF61" s="36"/>
      <c r="AG61" s="36"/>
      <c r="AH61" s="36"/>
      <c r="AI61" s="36"/>
    </row>
    <row r="62" spans="2:43" ht="13.5" thickBot="1">
      <c r="B62" s="58"/>
      <c r="C62" s="59"/>
      <c r="D62" s="60" t="s">
        <v>23</v>
      </c>
      <c r="E62" s="71"/>
      <c r="F62" s="71"/>
      <c r="G62" s="61">
        <f>COUNTIF(G10:G57,"N")</f>
        <v>0</v>
      </c>
      <c r="H62" s="62">
        <f>SUMIF(E10:E57,J62,M10:M57)</f>
        <v>0</v>
      </c>
      <c r="I62" s="80">
        <f>COUNTIF(E10:E57,J62)</f>
        <v>0</v>
      </c>
      <c r="J62" s="81" t="s">
        <v>24</v>
      </c>
      <c r="K62" s="62">
        <f>SUMIF(G10:G57,"N",K10:K57)</f>
        <v>0</v>
      </c>
      <c r="L62" s="62">
        <f>SUMIF(H10:H57,"N",L10:L57)</f>
        <v>0</v>
      </c>
      <c r="M62" s="72">
        <f>L62+K62</f>
        <v>0</v>
      </c>
      <c r="N62" s="83"/>
      <c r="O62" s="72">
        <f>SUMIF(N10:N57,#REF!,M10:M57)</f>
        <v>0</v>
      </c>
      <c r="P62" s="62">
        <f>SUMIF(N10:N57,R62,M10:M57)</f>
        <v>0</v>
      </c>
      <c r="Q62" s="82">
        <f>COUNTIF(N10:N57,R62)</f>
        <v>0</v>
      </c>
      <c r="R62" s="175" t="s">
        <v>25</v>
      </c>
      <c r="S62" s="62"/>
      <c r="T62" s="177"/>
      <c r="U62" s="64"/>
      <c r="V62" s="65"/>
      <c r="W62" s="305"/>
      <c r="X62" s="278"/>
      <c r="Y62" s="196"/>
      <c r="AA62" s="187">
        <v>80</v>
      </c>
      <c r="AC62" s="36"/>
      <c r="AD62" s="36"/>
      <c r="AE62" s="38"/>
      <c r="AF62" s="36"/>
      <c r="AG62" s="36"/>
      <c r="AH62" s="36"/>
      <c r="AI62" s="36"/>
    </row>
    <row r="63" spans="2:43" ht="12" customHeight="1">
      <c r="Z63" s="230">
        <f>Q58*0.1765</f>
        <v>3455662083</v>
      </c>
      <c r="AA63" s="187">
        <v>85</v>
      </c>
      <c r="AC63" s="36"/>
      <c r="AD63" s="36"/>
      <c r="AE63" s="38"/>
      <c r="AF63" s="36"/>
      <c r="AG63" s="36"/>
      <c r="AH63" s="36"/>
      <c r="AI63" s="36"/>
    </row>
    <row r="64" spans="2:43">
      <c r="B64" s="28" t="s">
        <v>26</v>
      </c>
      <c r="C64" s="29"/>
      <c r="T64" s="5"/>
      <c r="U64" s="33"/>
      <c r="Z64" s="230">
        <f>Z63-S58</f>
        <v>-5745675817</v>
      </c>
      <c r="AA64" s="187">
        <v>85</v>
      </c>
      <c r="AC64" s="36"/>
      <c r="AD64" s="36"/>
      <c r="AE64" s="38"/>
      <c r="AF64" s="36"/>
      <c r="AG64" s="36"/>
      <c r="AH64" s="36"/>
      <c r="AI64" s="36"/>
    </row>
    <row r="65" spans="2:35">
      <c r="C65" s="30" t="s">
        <v>14</v>
      </c>
      <c r="D65" s="31" t="s">
        <v>40</v>
      </c>
      <c r="I65" s="32"/>
      <c r="J65" s="3"/>
      <c r="T65" s="5"/>
      <c r="AA65" s="187">
        <v>85</v>
      </c>
      <c r="AC65" s="36"/>
      <c r="AD65" s="36"/>
      <c r="AE65" s="38"/>
      <c r="AF65" s="36"/>
      <c r="AG65" s="36"/>
      <c r="AH65" s="36"/>
      <c r="AI65" s="36"/>
    </row>
    <row r="66" spans="2:35">
      <c r="C66" s="30" t="s">
        <v>27</v>
      </c>
      <c r="D66" s="31" t="s">
        <v>41</v>
      </c>
      <c r="I66" s="32"/>
      <c r="J66" s="3"/>
      <c r="T66" s="239" t="s">
        <v>106</v>
      </c>
      <c r="Y66" s="197"/>
      <c r="AC66" s="36"/>
      <c r="AD66" s="36"/>
      <c r="AE66" s="38"/>
      <c r="AF66" s="36"/>
      <c r="AG66" s="36"/>
      <c r="AH66" s="36"/>
      <c r="AI66" s="36"/>
    </row>
    <row r="67" spans="2:35">
      <c r="C67" s="30" t="s">
        <v>28</v>
      </c>
      <c r="D67" s="31" t="s">
        <v>42</v>
      </c>
      <c r="I67" s="32"/>
      <c r="J67" s="3"/>
      <c r="K67" s="4">
        <f>SUMIF(K15:K56,"K",M15:M56)</f>
        <v>0</v>
      </c>
      <c r="T67" s="5" t="s">
        <v>31</v>
      </c>
      <c r="AC67" s="36"/>
      <c r="AD67" s="36"/>
      <c r="AE67" s="38"/>
      <c r="AF67" s="36"/>
      <c r="AG67" s="36"/>
      <c r="AH67" s="36"/>
      <c r="AI67" s="36"/>
    </row>
    <row r="68" spans="2:35">
      <c r="B68" s="30"/>
      <c r="C68" s="31"/>
      <c r="T68" s="5" t="s">
        <v>91</v>
      </c>
      <c r="AC68" s="36"/>
      <c r="AD68" s="36"/>
      <c r="AE68" s="38"/>
      <c r="AF68" s="36"/>
      <c r="AG68" s="36"/>
      <c r="AH68" s="36"/>
      <c r="AI68" s="36"/>
    </row>
    <row r="69" spans="2:35">
      <c r="T69" s="29" t="s">
        <v>103</v>
      </c>
      <c r="AC69" s="36"/>
      <c r="AD69" s="36"/>
      <c r="AE69" s="38"/>
      <c r="AF69" s="36"/>
      <c r="AG69" s="36"/>
      <c r="AH69" s="36"/>
      <c r="AI69" s="36"/>
    </row>
    <row r="70" spans="2:35">
      <c r="T70" s="5" t="s">
        <v>104</v>
      </c>
      <c r="AC70" s="36"/>
      <c r="AD70" s="36"/>
      <c r="AE70" s="38"/>
      <c r="AF70" s="36"/>
      <c r="AG70" s="36"/>
      <c r="AH70" s="36"/>
      <c r="AI70" s="36"/>
    </row>
    <row r="71" spans="2:35">
      <c r="T71" s="5"/>
      <c r="AC71" s="36"/>
      <c r="AD71" s="36"/>
      <c r="AE71" s="38"/>
      <c r="AF71" s="36"/>
      <c r="AG71" s="36"/>
      <c r="AH71" s="36"/>
      <c r="AI71" s="36"/>
    </row>
    <row r="72" spans="2:35">
      <c r="T72" s="5"/>
      <c r="AC72" s="36"/>
      <c r="AD72" s="36"/>
      <c r="AE72" s="38"/>
      <c r="AF72" s="36"/>
      <c r="AG72" s="36"/>
      <c r="AH72" s="36"/>
      <c r="AI72" s="36"/>
    </row>
    <row r="73" spans="2:35">
      <c r="T73" s="5"/>
      <c r="AC73" s="36"/>
      <c r="AD73" s="36"/>
      <c r="AE73" s="38"/>
      <c r="AF73" s="36"/>
      <c r="AG73" s="36"/>
      <c r="AH73" s="36"/>
      <c r="AI73" s="36"/>
    </row>
    <row r="74" spans="2:35">
      <c r="T74" s="34" t="s">
        <v>92</v>
      </c>
      <c r="AC74" s="36"/>
      <c r="AD74" s="36"/>
      <c r="AE74" s="38"/>
      <c r="AF74" s="36"/>
      <c r="AG74" s="36"/>
      <c r="AH74" s="36"/>
      <c r="AI74" s="36"/>
    </row>
    <row r="75" spans="2:35">
      <c r="T75" s="5" t="s">
        <v>72</v>
      </c>
      <c r="AC75" s="36"/>
      <c r="AD75" s="36"/>
      <c r="AE75" s="38"/>
      <c r="AF75" s="36"/>
      <c r="AG75" s="36"/>
      <c r="AH75" s="36"/>
      <c r="AI75" s="36"/>
    </row>
    <row r="76" spans="2:35">
      <c r="T76" s="5" t="s">
        <v>93</v>
      </c>
      <c r="AC76" s="36"/>
      <c r="AD76" s="36"/>
      <c r="AE76" s="38"/>
      <c r="AF76" s="36"/>
      <c r="AG76" s="36"/>
      <c r="AH76" s="36"/>
      <c r="AI76" s="36"/>
    </row>
    <row r="77" spans="2:35">
      <c r="K77" s="4">
        <v>19471462000</v>
      </c>
      <c r="T77" s="34"/>
      <c r="AC77" s="36"/>
      <c r="AD77" s="36"/>
      <c r="AE77" s="38"/>
      <c r="AF77" s="36"/>
      <c r="AG77" s="36"/>
      <c r="AH77" s="36"/>
      <c r="AI77" s="36"/>
    </row>
    <row r="78" spans="2:35">
      <c r="Q78" s="33">
        <f>S11/Q11*100</f>
        <v>46.996381600486487</v>
      </c>
      <c r="S78" s="267">
        <f>S58/Q58*100</f>
        <v>46.996381600486487</v>
      </c>
      <c r="T78" s="5"/>
      <c r="AC78" s="36"/>
      <c r="AD78" s="36"/>
      <c r="AE78" s="38"/>
      <c r="AF78" s="36"/>
      <c r="AG78" s="36"/>
      <c r="AH78" s="36"/>
      <c r="AI78" s="36"/>
    </row>
    <row r="79" spans="2:35">
      <c r="S79" s="4">
        <f>M26-S26</f>
        <v>2021819900</v>
      </c>
      <c r="T79" s="5"/>
      <c r="AC79" s="36"/>
      <c r="AD79" s="36"/>
      <c r="AE79" s="38"/>
      <c r="AF79" s="36"/>
      <c r="AG79" s="36"/>
      <c r="AH79" s="36"/>
      <c r="AI79" s="36"/>
    </row>
    <row r="80" spans="2:35">
      <c r="T80" s="5"/>
      <c r="AC80" s="36"/>
      <c r="AD80" s="36"/>
      <c r="AE80" s="38"/>
      <c r="AF80" s="36"/>
      <c r="AG80" s="36"/>
      <c r="AH80" s="36"/>
      <c r="AI80" s="36"/>
    </row>
    <row r="81" spans="13:35">
      <c r="Q81" s="35"/>
      <c r="S81" s="4">
        <v>17189050700</v>
      </c>
      <c r="Y81" s="198"/>
      <c r="AC81" s="36"/>
      <c r="AD81" s="36"/>
      <c r="AE81" s="38"/>
      <c r="AF81" s="36"/>
      <c r="AG81" s="36"/>
      <c r="AH81" s="36"/>
      <c r="AI81" s="36"/>
    </row>
    <row r="82" spans="13:35">
      <c r="M82" s="33"/>
      <c r="Q82" s="4">
        <v>29938612000</v>
      </c>
      <c r="S82" s="4">
        <f>S81/Q58*100</f>
        <v>87.79410068695654</v>
      </c>
      <c r="AC82" s="36"/>
      <c r="AD82" s="36"/>
      <c r="AE82" s="38"/>
      <c r="AF82" s="36"/>
      <c r="AG82" s="36"/>
      <c r="AH82" s="36"/>
      <c r="AI82" s="36"/>
    </row>
    <row r="83" spans="13:35">
      <c r="M83" s="35"/>
      <c r="Q83" s="4">
        <v>16051629688</v>
      </c>
    </row>
    <row r="84" spans="13:35">
      <c r="O84" s="35"/>
      <c r="Q84" s="258">
        <f>Q83/Q82*100</f>
        <v>53.615143173638117</v>
      </c>
    </row>
  </sheetData>
  <mergeCells count="22">
    <mergeCell ref="U1:V1"/>
    <mergeCell ref="O7:Q7"/>
    <mergeCell ref="B2:V2"/>
    <mergeCell ref="K7:M7"/>
    <mergeCell ref="B3:V3"/>
    <mergeCell ref="B4:V4"/>
    <mergeCell ref="P59:R59"/>
    <mergeCell ref="C9:D9"/>
    <mergeCell ref="B14:C14"/>
    <mergeCell ref="H59:J60"/>
    <mergeCell ref="N59:O59"/>
    <mergeCell ref="G7:G8"/>
    <mergeCell ref="B7:B8"/>
    <mergeCell ref="C7:D8"/>
    <mergeCell ref="B11:C11"/>
    <mergeCell ref="B15:C15"/>
    <mergeCell ref="C58:D58"/>
    <mergeCell ref="B13:C13"/>
    <mergeCell ref="I7:J7"/>
    <mergeCell ref="U7:V7"/>
    <mergeCell ref="F7:F8"/>
    <mergeCell ref="R7:T7"/>
  </mergeCells>
  <phoneticPr fontId="0" type="noConversion"/>
  <printOptions horizontalCentered="1"/>
  <pageMargins left="1.28" right="0.15" top="0.78740157480314965" bottom="0.59055118110236227" header="0.19685039370078741" footer="0.43307086614173229"/>
  <pageSetup paperSize="5" scale="73" fitToHeight="5" orientation="landscape" horizontalDpi="4294967293" verticalDpi="300" r:id="rId1"/>
  <headerFooter alignWithMargins="0">
    <oddFooter>&amp;L&amp;8                               &amp;Z\&amp;F (&amp;A)&amp;R&amp;8Hal. &amp;P</oddFooter>
  </headerFooter>
  <rowBreaks count="1" manualBreakCount="1">
    <brk id="43" min="1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I21"/>
  <sheetViews>
    <sheetView topLeftCell="A10" workbookViewId="0">
      <selection activeCell="H15" sqref="H15"/>
    </sheetView>
  </sheetViews>
  <sheetFormatPr defaultRowHeight="12.75"/>
  <cols>
    <col min="2" max="2" width="23.7109375" customWidth="1"/>
    <col min="3" max="3" width="5" customWidth="1"/>
    <col min="4" max="4" width="6.7109375" customWidth="1"/>
    <col min="5" max="5" width="6.140625" customWidth="1"/>
    <col min="6" max="6" width="8.7109375" customWidth="1"/>
    <col min="7" max="7" width="6" customWidth="1"/>
    <col min="8" max="8" width="6.140625" customWidth="1"/>
    <col min="9" max="9" width="4.5703125" customWidth="1"/>
  </cols>
  <sheetData>
    <row r="2" spans="1:9">
      <c r="B2" s="366" t="s">
        <v>87</v>
      </c>
      <c r="C2" s="365" t="s">
        <v>82</v>
      </c>
      <c r="D2" s="365"/>
      <c r="E2" s="365"/>
      <c r="F2" s="365"/>
      <c r="G2" s="364" t="s">
        <v>86</v>
      </c>
      <c r="H2" s="365"/>
      <c r="I2" s="365"/>
    </row>
    <row r="3" spans="1:9" ht="28.5" customHeight="1">
      <c r="B3" s="367"/>
      <c r="C3" s="292"/>
      <c r="D3" s="288"/>
      <c r="E3" s="282" t="s">
        <v>84</v>
      </c>
      <c r="F3" s="283" t="s">
        <v>85</v>
      </c>
      <c r="G3" s="282" t="s">
        <v>84</v>
      </c>
      <c r="H3" s="284" t="s">
        <v>85</v>
      </c>
      <c r="I3" s="288"/>
    </row>
    <row r="4" spans="1:9" ht="23.25" customHeight="1">
      <c r="B4" s="293" t="s">
        <v>77</v>
      </c>
      <c r="C4" s="285">
        <v>22</v>
      </c>
      <c r="D4" s="289" t="s">
        <v>83</v>
      </c>
      <c r="E4" s="281">
        <v>5</v>
      </c>
      <c r="F4" s="281">
        <f t="shared" ref="F4:F11" si="0">C4-E4</f>
        <v>17</v>
      </c>
      <c r="G4" s="281">
        <v>4</v>
      </c>
      <c r="H4" s="285">
        <v>0</v>
      </c>
      <c r="I4" s="289" t="s">
        <v>83</v>
      </c>
    </row>
    <row r="5" spans="1:9" ht="23.25" customHeight="1">
      <c r="B5" s="293" t="s">
        <v>74</v>
      </c>
      <c r="C5" s="286">
        <v>14</v>
      </c>
      <c r="D5" s="290" t="s">
        <v>83</v>
      </c>
      <c r="E5" s="279">
        <v>3</v>
      </c>
      <c r="F5" s="279">
        <f t="shared" si="0"/>
        <v>11</v>
      </c>
      <c r="G5" s="279">
        <v>0</v>
      </c>
      <c r="H5" s="286">
        <v>3</v>
      </c>
      <c r="I5" s="290" t="s">
        <v>83</v>
      </c>
    </row>
    <row r="6" spans="1:9" ht="23.25" customHeight="1">
      <c r="B6" s="293" t="s">
        <v>75</v>
      </c>
      <c r="C6" s="286">
        <v>10</v>
      </c>
      <c r="D6" s="290" t="s">
        <v>83</v>
      </c>
      <c r="E6" s="279">
        <v>2</v>
      </c>
      <c r="F6" s="279">
        <f t="shared" si="0"/>
        <v>8</v>
      </c>
      <c r="G6" s="279">
        <v>0</v>
      </c>
      <c r="H6" s="286">
        <v>0</v>
      </c>
      <c r="I6" s="290" t="s">
        <v>83</v>
      </c>
    </row>
    <row r="7" spans="1:9" ht="23.25" customHeight="1">
      <c r="B7" s="293" t="s">
        <v>58</v>
      </c>
      <c r="C7" s="286">
        <v>16</v>
      </c>
      <c r="D7" s="290" t="s">
        <v>83</v>
      </c>
      <c r="E7" s="279">
        <v>3</v>
      </c>
      <c r="F7" s="279">
        <f t="shared" si="0"/>
        <v>13</v>
      </c>
      <c r="G7" s="279">
        <v>0</v>
      </c>
      <c r="H7" s="286">
        <v>0</v>
      </c>
      <c r="I7" s="290" t="s">
        <v>83</v>
      </c>
    </row>
    <row r="8" spans="1:9" ht="23.25" customHeight="1">
      <c r="B8" s="293" t="s">
        <v>59</v>
      </c>
      <c r="C8" s="286">
        <v>11</v>
      </c>
      <c r="D8" s="290" t="s">
        <v>83</v>
      </c>
      <c r="E8" s="279">
        <v>2</v>
      </c>
      <c r="F8" s="279">
        <f t="shared" si="0"/>
        <v>9</v>
      </c>
      <c r="G8" s="279">
        <v>0</v>
      </c>
      <c r="H8" s="286">
        <v>2</v>
      </c>
      <c r="I8" s="290" t="s">
        <v>83</v>
      </c>
    </row>
    <row r="9" spans="1:9" ht="23.25" customHeight="1">
      <c r="B9" s="293" t="s">
        <v>60</v>
      </c>
      <c r="C9" s="286">
        <v>14</v>
      </c>
      <c r="D9" s="290" t="s">
        <v>83</v>
      </c>
      <c r="E9" s="279">
        <v>3</v>
      </c>
      <c r="F9" s="279">
        <f t="shared" si="0"/>
        <v>11</v>
      </c>
      <c r="G9" s="279">
        <v>2</v>
      </c>
      <c r="H9" s="286">
        <v>1</v>
      </c>
      <c r="I9" s="290" t="s">
        <v>83</v>
      </c>
    </row>
    <row r="10" spans="1:9" ht="23.25" customHeight="1">
      <c r="B10" s="293" t="s">
        <v>80</v>
      </c>
      <c r="C10" s="286">
        <v>6</v>
      </c>
      <c r="D10" s="290" t="s">
        <v>83</v>
      </c>
      <c r="E10" s="279">
        <v>1</v>
      </c>
      <c r="F10" s="279">
        <f t="shared" si="0"/>
        <v>5</v>
      </c>
      <c r="G10" s="279">
        <v>0</v>
      </c>
      <c r="H10" s="286">
        <v>2</v>
      </c>
      <c r="I10" s="290" t="s">
        <v>83</v>
      </c>
    </row>
    <row r="11" spans="1:9" ht="23.25" customHeight="1">
      <c r="B11" s="294" t="s">
        <v>81</v>
      </c>
      <c r="C11" s="287">
        <v>7</v>
      </c>
      <c r="D11" s="291" t="s">
        <v>83</v>
      </c>
      <c r="E11" s="280">
        <v>1</v>
      </c>
      <c r="F11" s="280">
        <f t="shared" si="0"/>
        <v>6</v>
      </c>
      <c r="G11" s="280">
        <v>1</v>
      </c>
      <c r="H11" s="287">
        <v>3</v>
      </c>
      <c r="I11" s="291" t="s">
        <v>83</v>
      </c>
    </row>
    <row r="16" spans="1:9" ht="18" customHeight="1">
      <c r="A16" s="295" t="s">
        <v>88</v>
      </c>
      <c r="C16" s="368">
        <v>614381000</v>
      </c>
      <c r="D16" s="368"/>
      <c r="E16" s="368"/>
      <c r="F16" s="298">
        <f>C16/$C$21*100</f>
        <v>2.4861786006323037</v>
      </c>
      <c r="G16" s="295" t="s">
        <v>89</v>
      </c>
    </row>
    <row r="17" spans="1:7" ht="18" customHeight="1">
      <c r="A17" s="295" t="s">
        <v>52</v>
      </c>
      <c r="C17" s="363">
        <v>6967408000</v>
      </c>
      <c r="D17" s="363"/>
      <c r="E17" s="363"/>
      <c r="F17" s="298">
        <f>C17/$C$21*100</f>
        <v>28.194590443835853</v>
      </c>
      <c r="G17" s="295" t="s">
        <v>89</v>
      </c>
    </row>
    <row r="18" spans="1:7" ht="18" customHeight="1">
      <c r="A18" s="295" t="s">
        <v>53</v>
      </c>
      <c r="C18" s="363">
        <v>9670072000</v>
      </c>
      <c r="D18" s="363"/>
      <c r="E18" s="363"/>
      <c r="F18" s="298">
        <f>C18/$C$21*100</f>
        <v>39.131298124410783</v>
      </c>
      <c r="G18" s="295" t="s">
        <v>89</v>
      </c>
    </row>
    <row r="19" spans="1:7" ht="18" customHeight="1">
      <c r="A19" s="295" t="s">
        <v>55</v>
      </c>
      <c r="C19" s="363">
        <v>7460000000</v>
      </c>
      <c r="D19" s="363"/>
      <c r="E19" s="363"/>
      <c r="F19" s="298">
        <f>C19/$C$21*100</f>
        <v>30.187932831121056</v>
      </c>
      <c r="G19" s="295" t="s">
        <v>89</v>
      </c>
    </row>
    <row r="20" spans="1:7" ht="18" customHeight="1">
      <c r="A20" s="295"/>
      <c r="C20" s="296"/>
      <c r="D20" s="296"/>
      <c r="E20" s="296"/>
    </row>
    <row r="21" spans="1:7" ht="24" customHeight="1">
      <c r="C21" s="363">
        <f>SUM(C16:E19)</f>
        <v>24711861000</v>
      </c>
      <c r="D21" s="363"/>
      <c r="E21" s="363"/>
      <c r="F21" s="297">
        <f>SUM(F16:F20)</f>
        <v>100</v>
      </c>
      <c r="G21" s="295" t="s">
        <v>89</v>
      </c>
    </row>
  </sheetData>
  <mergeCells count="8">
    <mergeCell ref="C19:E19"/>
    <mergeCell ref="C21:E21"/>
    <mergeCell ref="G2:I2"/>
    <mergeCell ref="C2:F2"/>
    <mergeCell ref="B2:B3"/>
    <mergeCell ref="C16:E16"/>
    <mergeCell ref="C17:E17"/>
    <mergeCell ref="C18:E1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</vt:lpstr>
      <vt:lpstr>Sheet2</vt:lpstr>
      <vt:lpstr>'P1'!Print_Area</vt:lpstr>
      <vt:lpstr>'P1'!Print_Titles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PROGRAM-03</cp:lastModifiedBy>
  <cp:lastPrinted>2017-07-04T04:21:25Z</cp:lastPrinted>
  <dcterms:created xsi:type="dcterms:W3CDTF">2006-02-13T11:02:06Z</dcterms:created>
  <dcterms:modified xsi:type="dcterms:W3CDTF">2017-07-04T04:22:09Z</dcterms:modified>
</cp:coreProperties>
</file>