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ugas\EXCEL\ATAP\"/>
    </mc:Choice>
  </mc:AlternateContent>
  <xr:revisionPtr revIDLastSave="0" documentId="8_{64A6C4B2-C094-453F-A0A0-0C77A8806A77}" xr6:coauthVersionLast="47" xr6:coauthVersionMax="47" xr10:uidLastSave="{00000000-0000-0000-0000-000000000000}"/>
  <bookViews>
    <workbookView xWindow="10095" yWindow="0" windowWidth="9570" windowHeight="10905" xr2:uid="{83BA30EB-5FCF-4EC7-A738-2B094273BBFF}"/>
  </bookViews>
  <sheets>
    <sheet name="Lada" sheetId="2" r:id="rId1"/>
  </sheets>
  <definedNames>
    <definedName name="_xlnm._FilterDatabase" localSheetId="0" hidden="1">Lada!$M$10:$N$58</definedName>
    <definedName name="komoditi">#REF!</definedName>
    <definedName name="Z_2261BA37_6603_4C7D_A906_4ADEEA0D2AD9_.wvu.FilterData" localSheetId="0" hidden="1">Lada!$M$10:$N$42</definedName>
    <definedName name="Z_3F279D1F_CFB3_4226_902F_136088D6AABE_.wvu.Cols" localSheetId="0">Lada!$X:$X</definedName>
    <definedName name="Z_E0A9CCBE_DFA4_484F_9A7B_5629A986599D_.wvu.FilterData" localSheetId="0" hidden="1">Lada!$M$10:$N$57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2" l="1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B63" i="2"/>
  <c r="F57" i="2"/>
  <c r="J57" i="2" s="1"/>
  <c r="F56" i="2"/>
  <c r="J56" i="2" s="1"/>
  <c r="F55" i="2"/>
  <c r="J55" i="2" s="1"/>
  <c r="F54" i="2"/>
  <c r="J54" i="2" s="1"/>
  <c r="F53" i="2"/>
  <c r="J53" i="2" s="1"/>
  <c r="F52" i="2"/>
  <c r="J52" i="2" s="1"/>
  <c r="F51" i="2"/>
  <c r="J51" i="2" s="1"/>
  <c r="F50" i="2"/>
  <c r="J50" i="2" s="1"/>
  <c r="F49" i="2"/>
  <c r="J49" i="2" s="1"/>
  <c r="I43" i="2"/>
  <c r="G43" i="2"/>
  <c r="E43" i="2"/>
  <c r="D43" i="2"/>
  <c r="C43" i="2"/>
  <c r="F43" i="2" s="1"/>
  <c r="X42" i="2"/>
  <c r="J42" i="2"/>
  <c r="H42" i="2"/>
  <c r="F42" i="2"/>
  <c r="X41" i="2"/>
  <c r="J41" i="2"/>
  <c r="H41" i="2"/>
  <c r="F41" i="2"/>
  <c r="X40" i="2"/>
  <c r="J40" i="2"/>
  <c r="H40" i="2"/>
  <c r="F40" i="2"/>
  <c r="X39" i="2"/>
  <c r="H39" i="2"/>
  <c r="F39" i="2"/>
  <c r="J39" i="2" s="1"/>
  <c r="X38" i="2"/>
  <c r="H38" i="2"/>
  <c r="F38" i="2"/>
  <c r="J38" i="2" s="1"/>
  <c r="X37" i="2"/>
  <c r="H37" i="2"/>
  <c r="F37" i="2"/>
  <c r="J37" i="2" s="1"/>
  <c r="X36" i="2"/>
  <c r="H36" i="2"/>
  <c r="F36" i="2"/>
  <c r="J36" i="2" s="1"/>
  <c r="X35" i="2"/>
  <c r="H35" i="2"/>
  <c r="F35" i="2"/>
  <c r="J35" i="2" s="1"/>
  <c r="X34" i="2"/>
  <c r="P34" i="2"/>
  <c r="O34" i="2"/>
  <c r="N34" i="2"/>
  <c r="M34" i="2"/>
  <c r="H34" i="2"/>
  <c r="F34" i="2"/>
  <c r="J34" i="2" s="1"/>
  <c r="X33" i="2"/>
  <c r="P33" i="2"/>
  <c r="O33" i="2"/>
  <c r="N33" i="2"/>
  <c r="M33" i="2"/>
  <c r="H33" i="2"/>
  <c r="F33" i="2"/>
  <c r="J33" i="2" s="1"/>
  <c r="X32" i="2"/>
  <c r="P32" i="2"/>
  <c r="O32" i="2"/>
  <c r="N32" i="2"/>
  <c r="M32" i="2"/>
  <c r="H32" i="2"/>
  <c r="F32" i="2"/>
  <c r="J32" i="2" s="1"/>
  <c r="X31" i="2"/>
  <c r="P31" i="2"/>
  <c r="O31" i="2"/>
  <c r="N31" i="2"/>
  <c r="M31" i="2"/>
  <c r="J31" i="2"/>
  <c r="H31" i="2"/>
  <c r="F31" i="2"/>
  <c r="X30" i="2"/>
  <c r="P30" i="2"/>
  <c r="O30" i="2"/>
  <c r="N30" i="2"/>
  <c r="M30" i="2"/>
  <c r="H30" i="2"/>
  <c r="F30" i="2"/>
  <c r="J30" i="2" s="1"/>
  <c r="X29" i="2"/>
  <c r="P29" i="2"/>
  <c r="O29" i="2"/>
  <c r="N29" i="2"/>
  <c r="M29" i="2"/>
  <c r="H29" i="2"/>
  <c r="F29" i="2"/>
  <c r="J29" i="2" s="1"/>
  <c r="X28" i="2"/>
  <c r="P28" i="2"/>
  <c r="O28" i="2"/>
  <c r="N28" i="2"/>
  <c r="M28" i="2"/>
  <c r="H28" i="2"/>
  <c r="F28" i="2"/>
  <c r="J28" i="2" s="1"/>
  <c r="X27" i="2"/>
  <c r="P27" i="2"/>
  <c r="O27" i="2"/>
  <c r="N27" i="2"/>
  <c r="M27" i="2"/>
  <c r="J27" i="2"/>
  <c r="H27" i="2"/>
  <c r="F27" i="2"/>
  <c r="X26" i="2"/>
  <c r="P26" i="2"/>
  <c r="O26" i="2"/>
  <c r="N26" i="2"/>
  <c r="M26" i="2"/>
  <c r="J26" i="2"/>
  <c r="H26" i="2"/>
  <c r="F26" i="2"/>
  <c r="X25" i="2"/>
  <c r="P25" i="2"/>
  <c r="O25" i="2"/>
  <c r="N25" i="2"/>
  <c r="M25" i="2"/>
  <c r="J25" i="2"/>
  <c r="H25" i="2"/>
  <c r="F25" i="2"/>
  <c r="X24" i="2"/>
  <c r="P24" i="2"/>
  <c r="O24" i="2"/>
  <c r="N24" i="2"/>
  <c r="M24" i="2"/>
  <c r="J24" i="2"/>
  <c r="H24" i="2"/>
  <c r="F24" i="2"/>
  <c r="X23" i="2"/>
  <c r="P23" i="2"/>
  <c r="O23" i="2"/>
  <c r="N23" i="2"/>
  <c r="M23" i="2"/>
  <c r="H23" i="2"/>
  <c r="F23" i="2"/>
  <c r="J23" i="2" s="1"/>
  <c r="X22" i="2"/>
  <c r="P22" i="2"/>
  <c r="O22" i="2"/>
  <c r="N22" i="2"/>
  <c r="M22" i="2"/>
  <c r="H22" i="2"/>
  <c r="F22" i="2"/>
  <c r="J22" i="2" s="1"/>
  <c r="X21" i="2"/>
  <c r="P21" i="2"/>
  <c r="O21" i="2"/>
  <c r="N21" i="2"/>
  <c r="M21" i="2"/>
  <c r="H21" i="2"/>
  <c r="F21" i="2"/>
  <c r="J21" i="2" s="1"/>
  <c r="X20" i="2"/>
  <c r="P20" i="2"/>
  <c r="O20" i="2"/>
  <c r="N20" i="2"/>
  <c r="M20" i="2"/>
  <c r="H20" i="2"/>
  <c r="F20" i="2"/>
  <c r="J20" i="2" s="1"/>
  <c r="X19" i="2"/>
  <c r="P19" i="2"/>
  <c r="O19" i="2"/>
  <c r="N19" i="2"/>
  <c r="M19" i="2"/>
  <c r="H19" i="2"/>
  <c r="F19" i="2"/>
  <c r="J19" i="2" s="1"/>
  <c r="X18" i="2"/>
  <c r="P18" i="2"/>
  <c r="O18" i="2"/>
  <c r="N18" i="2"/>
  <c r="M18" i="2"/>
  <c r="H18" i="2"/>
  <c r="F18" i="2"/>
  <c r="J18" i="2" s="1"/>
  <c r="X17" i="2"/>
  <c r="P17" i="2"/>
  <c r="O17" i="2"/>
  <c r="N17" i="2"/>
  <c r="M17" i="2"/>
  <c r="H17" i="2"/>
  <c r="F17" i="2"/>
  <c r="J17" i="2" s="1"/>
  <c r="X16" i="2"/>
  <c r="P16" i="2"/>
  <c r="O16" i="2"/>
  <c r="N16" i="2"/>
  <c r="M16" i="2"/>
  <c r="H16" i="2"/>
  <c r="F16" i="2"/>
  <c r="J16" i="2" s="1"/>
  <c r="X15" i="2"/>
  <c r="P15" i="2"/>
  <c r="O15" i="2"/>
  <c r="N15" i="2"/>
  <c r="M15" i="2"/>
  <c r="H15" i="2"/>
  <c r="F15" i="2"/>
  <c r="J15" i="2" s="1"/>
  <c r="X14" i="2"/>
  <c r="P14" i="2"/>
  <c r="O14" i="2"/>
  <c r="N14" i="2"/>
  <c r="M14" i="2"/>
  <c r="H14" i="2"/>
  <c r="F14" i="2"/>
  <c r="J14" i="2" s="1"/>
  <c r="X13" i="2"/>
  <c r="P13" i="2"/>
  <c r="O13" i="2"/>
  <c r="N13" i="2"/>
  <c r="M13" i="2"/>
  <c r="H13" i="2"/>
  <c r="F13" i="2"/>
  <c r="J13" i="2" s="1"/>
  <c r="X12" i="2"/>
  <c r="P12" i="2"/>
  <c r="O12" i="2"/>
  <c r="N12" i="2"/>
  <c r="M12" i="2"/>
  <c r="H12" i="2"/>
  <c r="F12" i="2"/>
  <c r="J12" i="2" s="1"/>
  <c r="X11" i="2"/>
  <c r="P11" i="2"/>
  <c r="O11" i="2"/>
  <c r="N11" i="2"/>
  <c r="M11" i="2"/>
  <c r="H11" i="2"/>
  <c r="F11" i="2"/>
  <c r="X10" i="2"/>
  <c r="K11" i="2" l="1"/>
  <c r="J11" i="2"/>
  <c r="C63" i="2"/>
  <c r="H43" i="2"/>
  <c r="J43" i="2"/>
</calcChain>
</file>

<file path=xl/sharedStrings.xml><?xml version="1.0" encoding="utf-8"?>
<sst xmlns="http://schemas.openxmlformats.org/spreadsheetml/2006/main" count="78" uniqueCount="76">
  <si>
    <t>TABEL 44</t>
  </si>
  <si>
    <t>kang asep</t>
  </si>
  <si>
    <t>Lada</t>
  </si>
  <si>
    <t>REKAPITULASI LUAS AREAL, PRODUKSI DAN PRODUKTIVITAS PERKEBUNAN RAKYAT</t>
  </si>
  <si>
    <r>
      <rPr>
        <sz val="11"/>
        <color rgb="FF000000"/>
        <rFont val="Tahoma"/>
      </rPr>
      <t xml:space="preserve">KOMODITAS : </t>
    </r>
    <r>
      <rPr>
        <b/>
        <sz val="11"/>
        <color rgb="FF000000"/>
        <rFont val="Tahoma"/>
      </rPr>
      <t>LADA</t>
    </r>
  </si>
  <si>
    <t>No</t>
  </si>
  <si>
    <t>Kabupaten/Kota</t>
  </si>
  <si>
    <t>Areal (Ha)</t>
  </si>
  <si>
    <t xml:space="preserve">Produksi </t>
  </si>
  <si>
    <t>Jumlah Petani Pekebun (KK)</t>
  </si>
  <si>
    <t>Rata0rata Kepemilikan Lahan (Ha/KK)</t>
  </si>
  <si>
    <t>TBM</t>
  </si>
  <si>
    <t>TM</t>
  </si>
  <si>
    <t>TT/TR</t>
  </si>
  <si>
    <t>Jumlah</t>
  </si>
  <si>
    <t>Jumlah (Ton)</t>
  </si>
  <si>
    <t>Rata0rata (Kg/Ha)</t>
  </si>
  <si>
    <t>BERDASARKAN TOTAL AREAL</t>
  </si>
  <si>
    <t>BERDASARKAN JUMLAH PRODUKSI</t>
  </si>
  <si>
    <t>KAB/KOTA</t>
  </si>
  <si>
    <t>TOTAL AREAL</t>
  </si>
  <si>
    <t>PRODUKSI</t>
  </si>
  <si>
    <t>Kab. Cilacap</t>
  </si>
  <si>
    <t>Kab. Banyumas</t>
  </si>
  <si>
    <t>Kab. Purbalingga</t>
  </si>
  <si>
    <t>LUAS KECAMATAN;</t>
  </si>
  <si>
    <t>answered pasted</t>
  </si>
  <si>
    <t>Kab. Banjarnegara</t>
  </si>
  <si>
    <t>Kab. Kebumen</t>
  </si>
  <si>
    <t>Kab. Purworejo</t>
  </si>
  <si>
    <t>Kab. Wonosobo</t>
  </si>
  <si>
    <t>Kab. Magelang</t>
  </si>
  <si>
    <t>KOREKSI JUML PETANI</t>
  </si>
  <si>
    <t>Kab. Boyolali</t>
  </si>
  <si>
    <t>Kab. Klaten</t>
  </si>
  <si>
    <t>Kab. Sukoharjo</t>
  </si>
  <si>
    <t>Kab. Wonogiri</t>
  </si>
  <si>
    <t>Kab. Karanganyar</t>
  </si>
  <si>
    <t>Kab. Sragen</t>
  </si>
  <si>
    <t>Kab. Grobogan</t>
  </si>
  <si>
    <t>Kab. Blora</t>
  </si>
  <si>
    <t>Kab. Rembang</t>
  </si>
  <si>
    <t>Kab. Pati</t>
  </si>
  <si>
    <t>Kab. Kudus</t>
  </si>
  <si>
    <t>Kab. Jepara</t>
  </si>
  <si>
    <t>Kab. Demak</t>
  </si>
  <si>
    <t>Kab. Semarang</t>
  </si>
  <si>
    <t>Kab. Temanggung</t>
  </si>
  <si>
    <t>Kab. Kendal</t>
  </si>
  <si>
    <t>Kab. Batang</t>
  </si>
  <si>
    <t>Kab. Pekalongan</t>
  </si>
  <si>
    <t>Kab. Pemalang</t>
  </si>
  <si>
    <t>Kab. Tegal</t>
  </si>
  <si>
    <t>Kab. Brebes</t>
  </si>
  <si>
    <t>Kota Surakarta</t>
  </si>
  <si>
    <t>Kota Salatiga</t>
  </si>
  <si>
    <t>Kota Semarang</t>
  </si>
  <si>
    <t>JAWA TENGAH 2023</t>
  </si>
  <si>
    <t>JAWA TENGAH 2022</t>
  </si>
  <si>
    <t>JAWA TENGAH 2021</t>
  </si>
  <si>
    <t>JAWA TENGAH 2020</t>
  </si>
  <si>
    <t>JAWA TENGAH 2019</t>
  </si>
  <si>
    <t>JAWA TENGAH 2018</t>
  </si>
  <si>
    <t>JAWA TENGAH 2017</t>
  </si>
  <si>
    <t>JAWA TENGAH 2016</t>
  </si>
  <si>
    <t>JAWA TENGAH 2015</t>
  </si>
  <si>
    <t>JAWA TENGAH 2014</t>
  </si>
  <si>
    <t>JAWA TENGAH 2013</t>
  </si>
  <si>
    <t>JAWA TENGAH 2012</t>
  </si>
  <si>
    <t>JAWA TENGAH 2011</t>
  </si>
  <si>
    <t>JAWA TENGAH 2009</t>
  </si>
  <si>
    <t>JAWA TENGAH 2008</t>
  </si>
  <si>
    <t>Wujud Produksi : Biji Kering</t>
  </si>
  <si>
    <t>Tahun</t>
  </si>
  <si>
    <t>Produksi</t>
  </si>
  <si>
    <t>TANAMAN TAHUNAN DI JAWA TENGAH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</si>
</sst>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_);_(@_)"/>
    <numFmt numFmtId="165" formatCode="_(* #,##0.00_);_(* \(#,##0.00\);_(* \-??_);_(@_)"/>
    <numFmt numFmtId="166" formatCode="_(* #,##0_);_(* \(#,##0\);_(* \-??_);_(@_)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Tahoma"/>
    </font>
    <font>
      <sz val="10"/>
      <name val="Calibri"/>
    </font>
    <font>
      <sz val="10"/>
      <color theme="0"/>
      <name val="Arial"/>
    </font>
    <font>
      <sz val="11"/>
      <color rgb="FF000000"/>
      <name val="Inconsolata"/>
    </font>
    <font>
      <b/>
      <sz val="11"/>
      <color rgb="FF000000"/>
      <name val="Tahoma"/>
    </font>
    <font>
      <sz val="12"/>
      <color theme="1"/>
      <name val="Arial"/>
    </font>
    <font>
      <sz val="11"/>
      <color theme="1"/>
      <name val="Tahoma"/>
    </font>
    <font>
      <sz val="11"/>
      <color theme="1"/>
      <name val="Arial"/>
    </font>
    <font>
      <i/>
      <sz val="11"/>
      <color rgb="FF000000"/>
      <name val="Tahoma"/>
    </font>
    <font>
      <sz val="10"/>
      <color theme="1"/>
      <name val="Arial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1"/>
    <xf numFmtId="0" fontId="5" fillId="3" borderId="0" xfId="1" applyFont="1" applyFill="1"/>
    <xf numFmtId="0" fontId="2" fillId="2" borderId="1" xfId="1" applyFont="1" applyFill="1" applyBorder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/>
    <xf numFmtId="0" fontId="3" fillId="0" borderId="5" xfId="1" applyFont="1" applyBorder="1"/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164" fontId="2" fillId="0" borderId="2" xfId="1" applyNumberFormat="1" applyFont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 wrapText="1"/>
    </xf>
    <xf numFmtId="0" fontId="3" fillId="0" borderId="9" xfId="1" applyFont="1" applyBorder="1"/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3" borderId="0" xfId="1" applyFont="1" applyFill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center"/>
    </xf>
    <xf numFmtId="165" fontId="2" fillId="0" borderId="11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6" fontId="2" fillId="0" borderId="11" xfId="1" applyNumberFormat="1" applyFont="1" applyBorder="1" applyAlignment="1">
      <alignment horizontal="center" vertical="center"/>
    </xf>
    <xf numFmtId="165" fontId="2" fillId="3" borderId="11" xfId="1" applyNumberFormat="1" applyFont="1" applyFill="1" applyBorder="1" applyAlignment="1">
      <alignment horizontal="center" vertical="center"/>
    </xf>
    <xf numFmtId="165" fontId="9" fillId="3" borderId="11" xfId="1" applyNumberFormat="1" applyFont="1" applyFill="1" applyBorder="1" applyAlignment="1">
      <alignment vertical="center"/>
    </xf>
    <xf numFmtId="0" fontId="7" fillId="3" borderId="0" xfId="1" applyFont="1" applyFill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165" fontId="2" fillId="0" borderId="14" xfId="1" applyNumberFormat="1" applyFont="1" applyBorder="1" applyAlignment="1">
      <alignment vertical="center"/>
    </xf>
    <xf numFmtId="165" fontId="2" fillId="0" borderId="14" xfId="1" applyNumberFormat="1" applyFont="1" applyBorder="1" applyAlignment="1">
      <alignment horizontal="center" vertical="center"/>
    </xf>
    <xf numFmtId="167" fontId="2" fillId="0" borderId="14" xfId="1" applyNumberFormat="1" applyFont="1" applyBorder="1" applyAlignment="1">
      <alignment horizontal="center" vertical="center"/>
    </xf>
    <xf numFmtId="166" fontId="2" fillId="0" borderId="14" xfId="1" applyNumberFormat="1" applyFont="1" applyBorder="1" applyAlignment="1">
      <alignment vertical="center"/>
    </xf>
    <xf numFmtId="165" fontId="2" fillId="3" borderId="14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left" vertical="center"/>
    </xf>
    <xf numFmtId="0" fontId="8" fillId="0" borderId="19" xfId="1" applyFont="1" applyBorder="1" applyAlignment="1">
      <alignment horizontal="left" vertical="center"/>
    </xf>
    <xf numFmtId="0" fontId="9" fillId="3" borderId="20" xfId="1" applyFont="1" applyFill="1" applyBorder="1" applyAlignment="1">
      <alignment horizontal="center" vertical="center"/>
    </xf>
    <xf numFmtId="0" fontId="3" fillId="0" borderId="21" xfId="1" applyFont="1" applyBorder="1"/>
    <xf numFmtId="165" fontId="2" fillId="0" borderId="10" xfId="1" applyNumberFormat="1" applyFont="1" applyBorder="1" applyAlignment="1">
      <alignment horizontal="center" vertical="center"/>
    </xf>
    <xf numFmtId="167" fontId="2" fillId="0" borderId="10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5" fontId="2" fillId="3" borderId="10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3" borderId="20" xfId="1" applyFont="1" applyFill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left"/>
    </xf>
    <xf numFmtId="165" fontId="10" fillId="2" borderId="0" xfId="1" applyNumberFormat="1" applyFont="1" applyFill="1" applyAlignment="1">
      <alignment horizontal="left" vertical="center"/>
    </xf>
    <xf numFmtId="164" fontId="10" fillId="2" borderId="0" xfId="1" applyNumberFormat="1" applyFont="1" applyFill="1" applyAlignment="1">
      <alignment horizontal="left" vertical="center"/>
    </xf>
    <xf numFmtId="0" fontId="11" fillId="3" borderId="0" xfId="1" applyFont="1" applyFill="1" applyAlignment="1">
      <alignment horizontal="right"/>
    </xf>
    <xf numFmtId="165" fontId="11" fillId="3" borderId="0" xfId="1" applyNumberFormat="1" applyFont="1" applyFill="1"/>
    <xf numFmtId="0" fontId="12" fillId="0" borderId="0" xfId="1" applyFont="1"/>
  </cellXfs>
  <cellStyles count="2">
    <cellStyle name="Normal" xfId="0" builtinId="0"/>
    <cellStyle name="Normal 2" xfId="1" xr:uid="{2E6F802D-2105-4DED-8D6F-FB213AFAE7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Luas Areal Lada Jateng (Ha)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586230526748593"/>
          <c:y val="0.15158791969539628"/>
          <c:w val="0.8348866249409902"/>
          <c:h val="0.4109120803046036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Lada!$M$11:$M$42</c:f>
              <c:strCache>
                <c:ptCount val="24"/>
                <c:pt idx="0">
                  <c:v>Kab. Purbalingga</c:v>
                </c:pt>
                <c:pt idx="1">
                  <c:v>Kab. Banjarnegara</c:v>
                </c:pt>
                <c:pt idx="2">
                  <c:v>Kab. Cilacap</c:v>
                </c:pt>
                <c:pt idx="3">
                  <c:v>Kab. Banyumas</c:v>
                </c:pt>
                <c:pt idx="4">
                  <c:v>Kab. Wonogiri</c:v>
                </c:pt>
                <c:pt idx="5">
                  <c:v>Kab. Kebumen</c:v>
                </c:pt>
                <c:pt idx="6">
                  <c:v>Kab. Wonosobo</c:v>
                </c:pt>
                <c:pt idx="7">
                  <c:v>Kab. Kendal</c:v>
                </c:pt>
                <c:pt idx="8">
                  <c:v>Kab. Jepara</c:v>
                </c:pt>
                <c:pt idx="9">
                  <c:v>Kab. Temanggung</c:v>
                </c:pt>
                <c:pt idx="10">
                  <c:v>Kab. Purworejo</c:v>
                </c:pt>
                <c:pt idx="11">
                  <c:v>Kab. Brebes</c:v>
                </c:pt>
                <c:pt idx="12">
                  <c:v>Kab. Magelang</c:v>
                </c:pt>
                <c:pt idx="13">
                  <c:v>Kab. Boyolali</c:v>
                </c:pt>
                <c:pt idx="14">
                  <c:v>Kab. Pemalang</c:v>
                </c:pt>
                <c:pt idx="15">
                  <c:v>Kab. Batang</c:v>
                </c:pt>
                <c:pt idx="16">
                  <c:v>Kab. Pati</c:v>
                </c:pt>
                <c:pt idx="17">
                  <c:v>Kab. Semarang</c:v>
                </c:pt>
                <c:pt idx="18">
                  <c:v>Kab. Klaten</c:v>
                </c:pt>
                <c:pt idx="19">
                  <c:v>Kab. Pekalongan</c:v>
                </c:pt>
                <c:pt idx="20">
                  <c:v>Kab. Tegal</c:v>
                </c:pt>
                <c:pt idx="21">
                  <c:v>Kab. Kudus</c:v>
                </c:pt>
                <c:pt idx="22">
                  <c:v>Kab. Sukoharjo</c:v>
                </c:pt>
                <c:pt idx="23">
                  <c:v>Kab. Karanganyar</c:v>
                </c:pt>
              </c:strCache>
            </c:strRef>
          </c:cat>
          <c:val>
            <c:numRef>
              <c:f>Lada!$N$11:$N$42</c:f>
              <c:numCache>
                <c:formatCode>_(* #,##0.00_);_(* \(#,##0.00\);_(* \-??_);_(@_)</c:formatCode>
                <c:ptCount val="32"/>
                <c:pt idx="0">
                  <c:v>822.74</c:v>
                </c:pt>
                <c:pt idx="1">
                  <c:v>653.19000000000005</c:v>
                </c:pt>
                <c:pt idx="2">
                  <c:v>163.66999999999999</c:v>
                </c:pt>
                <c:pt idx="3">
                  <c:v>105.32</c:v>
                </c:pt>
                <c:pt idx="4">
                  <c:v>71</c:v>
                </c:pt>
                <c:pt idx="5">
                  <c:v>52.75</c:v>
                </c:pt>
                <c:pt idx="6">
                  <c:v>45.29</c:v>
                </c:pt>
                <c:pt idx="7">
                  <c:v>41.42</c:v>
                </c:pt>
                <c:pt idx="8">
                  <c:v>34.590000000000003</c:v>
                </c:pt>
                <c:pt idx="9">
                  <c:v>31.78</c:v>
                </c:pt>
                <c:pt idx="10">
                  <c:v>30.86</c:v>
                </c:pt>
                <c:pt idx="11">
                  <c:v>28.75</c:v>
                </c:pt>
                <c:pt idx="12">
                  <c:v>24.6</c:v>
                </c:pt>
                <c:pt idx="13">
                  <c:v>19.66</c:v>
                </c:pt>
                <c:pt idx="14">
                  <c:v>17.18</c:v>
                </c:pt>
                <c:pt idx="15">
                  <c:v>15.68</c:v>
                </c:pt>
                <c:pt idx="16">
                  <c:v>13.1</c:v>
                </c:pt>
                <c:pt idx="17">
                  <c:v>11.69</c:v>
                </c:pt>
                <c:pt idx="18">
                  <c:v>10.5</c:v>
                </c:pt>
                <c:pt idx="19">
                  <c:v>9.69</c:v>
                </c:pt>
                <c:pt idx="20">
                  <c:v>4.9000000000000004</c:v>
                </c:pt>
                <c:pt idx="21">
                  <c:v>2.2000000000000002</c:v>
                </c:pt>
                <c:pt idx="22">
                  <c:v>2.04</c:v>
                </c:pt>
                <c:pt idx="23">
                  <c:v>0.78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214-4DE1-B6A9-57D565FF6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163275"/>
        <c:axId val="1724876402"/>
      </c:barChart>
      <c:catAx>
        <c:axId val="17811632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724876402"/>
        <c:crosses val="autoZero"/>
        <c:auto val="1"/>
        <c:lblAlgn val="ctr"/>
        <c:lblOffset val="100"/>
        <c:noMultiLvlLbl val="1"/>
      </c:catAx>
      <c:valAx>
        <c:axId val="17248764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78116327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Produksi Lada Jateng (Ton)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540820029027577"/>
          <c:y val="0.15264797507788164"/>
          <c:w val="0.83187439525882922"/>
          <c:h val="0.4463103582554517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Lada!$O$11:$O$42</c:f>
              <c:strCache>
                <c:ptCount val="24"/>
                <c:pt idx="0">
                  <c:v>Kab. Purbalingga</c:v>
                </c:pt>
                <c:pt idx="1">
                  <c:v>Kab. Banjarnegara</c:v>
                </c:pt>
                <c:pt idx="2">
                  <c:v>Kab. Banyumas</c:v>
                </c:pt>
                <c:pt idx="3">
                  <c:v>Kab. Cilacap</c:v>
                </c:pt>
                <c:pt idx="4">
                  <c:v>Kab. Wonosobo</c:v>
                </c:pt>
                <c:pt idx="5">
                  <c:v>Kab. Wonogiri</c:v>
                </c:pt>
                <c:pt idx="6">
                  <c:v>Kab. Kebumen</c:v>
                </c:pt>
                <c:pt idx="7">
                  <c:v>Kab. Brebes</c:v>
                </c:pt>
                <c:pt idx="8">
                  <c:v>Kab. Boyolali</c:v>
                </c:pt>
                <c:pt idx="9">
                  <c:v>Kab. Temanggung</c:v>
                </c:pt>
                <c:pt idx="10">
                  <c:v>Kab. Kendal</c:v>
                </c:pt>
                <c:pt idx="11">
                  <c:v>Kab. Purworejo</c:v>
                </c:pt>
                <c:pt idx="12">
                  <c:v>Kab. Jepara</c:v>
                </c:pt>
                <c:pt idx="13">
                  <c:v>Kab. Pemalang</c:v>
                </c:pt>
                <c:pt idx="14">
                  <c:v>Kab. Pekalongan</c:v>
                </c:pt>
                <c:pt idx="15">
                  <c:v>Kab. Batang</c:v>
                </c:pt>
                <c:pt idx="16">
                  <c:v>Kab. Klaten</c:v>
                </c:pt>
                <c:pt idx="17">
                  <c:v>Kab. Tegal</c:v>
                </c:pt>
                <c:pt idx="18">
                  <c:v>Kab. Semarang</c:v>
                </c:pt>
                <c:pt idx="19">
                  <c:v>Kab. Pati</c:v>
                </c:pt>
                <c:pt idx="20">
                  <c:v>Kab. Magelang</c:v>
                </c:pt>
                <c:pt idx="21">
                  <c:v>Kab. Kudus</c:v>
                </c:pt>
                <c:pt idx="22">
                  <c:v>Kab. Sukoharjo</c:v>
                </c:pt>
                <c:pt idx="23">
                  <c:v>Kab. Karanganyar</c:v>
                </c:pt>
              </c:strCache>
            </c:strRef>
          </c:cat>
          <c:val>
            <c:numRef>
              <c:f>Lada!$P$11:$P$42</c:f>
              <c:numCache>
                <c:formatCode>_(* #,##0.00_);_(* \(#,##0.00\);_(* \-??_);_(@_)</c:formatCode>
                <c:ptCount val="32"/>
                <c:pt idx="0">
                  <c:v>199.05</c:v>
                </c:pt>
                <c:pt idx="1">
                  <c:v>110.5</c:v>
                </c:pt>
                <c:pt idx="2">
                  <c:v>71.290000000000006</c:v>
                </c:pt>
                <c:pt idx="3">
                  <c:v>45.6</c:v>
                </c:pt>
                <c:pt idx="4">
                  <c:v>24.96</c:v>
                </c:pt>
                <c:pt idx="5">
                  <c:v>19.010000000000002</c:v>
                </c:pt>
                <c:pt idx="6">
                  <c:v>16.37</c:v>
                </c:pt>
                <c:pt idx="7">
                  <c:v>13.45</c:v>
                </c:pt>
                <c:pt idx="8">
                  <c:v>9.3699999999999992</c:v>
                </c:pt>
                <c:pt idx="9">
                  <c:v>8.1999999999999993</c:v>
                </c:pt>
                <c:pt idx="10">
                  <c:v>6.41</c:v>
                </c:pt>
                <c:pt idx="11">
                  <c:v>6.31</c:v>
                </c:pt>
                <c:pt idx="12">
                  <c:v>6.25</c:v>
                </c:pt>
                <c:pt idx="13">
                  <c:v>3.12</c:v>
                </c:pt>
                <c:pt idx="14">
                  <c:v>3.05</c:v>
                </c:pt>
                <c:pt idx="15">
                  <c:v>2.36</c:v>
                </c:pt>
                <c:pt idx="16">
                  <c:v>1.77</c:v>
                </c:pt>
                <c:pt idx="17">
                  <c:v>0.95</c:v>
                </c:pt>
                <c:pt idx="18">
                  <c:v>0.91</c:v>
                </c:pt>
                <c:pt idx="19">
                  <c:v>0.74</c:v>
                </c:pt>
                <c:pt idx="20">
                  <c:v>0.68</c:v>
                </c:pt>
                <c:pt idx="21">
                  <c:v>0.5</c:v>
                </c:pt>
                <c:pt idx="22">
                  <c:v>0.26</c:v>
                </c:pt>
                <c:pt idx="23">
                  <c:v>0.02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729-442D-89A0-1E2691218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157937"/>
        <c:axId val="292629851"/>
      </c:barChart>
      <c:catAx>
        <c:axId val="15691579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292629851"/>
        <c:crosses val="autoZero"/>
        <c:auto val="1"/>
        <c:lblAlgn val="ctr"/>
        <c:lblOffset val="100"/>
        <c:noMultiLvlLbl val="1"/>
      </c:catAx>
      <c:valAx>
        <c:axId val="29262985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56915793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en-ID" sz="1800" b="1" i="0">
                <a:solidFill>
                  <a:srgbClr val="000000"/>
                </a:solidFill>
                <a:latin typeface="Calibri"/>
              </a:rPr>
              <a:t>Perkembangan Produksi Lada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circle"/>
            <c:size val="7"/>
            <c:spPr>
              <a:solidFill>
                <a:srgbClr val="4F81BD"/>
              </a:solidFill>
              <a:ln cmpd="sng">
                <a:solidFill>
                  <a:srgbClr val="4F81BD"/>
                </a:solidFill>
              </a:ln>
            </c:spPr>
          </c:marker>
          <c:cat>
            <c:strRef>
              <c:f>Lada!$B$63:$B$68</c:f>
              <c:strCache>
                <c:ptCount val="6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</c:strCache>
            </c:strRef>
          </c:cat>
          <c:val>
            <c:numRef>
              <c:f>Lada!$C$63:$C$68</c:f>
              <c:numCache>
                <c:formatCode>_(* #,##0.00_);_(* \(#,##0.00\);_(* \-??_);_(@_)</c:formatCode>
                <c:ptCount val="6"/>
                <c:pt idx="0">
                  <c:v>551.13000000000011</c:v>
                </c:pt>
                <c:pt idx="1">
                  <c:v>646.89</c:v>
                </c:pt>
                <c:pt idx="2">
                  <c:v>643.06999999999994</c:v>
                </c:pt>
                <c:pt idx="3">
                  <c:v>638.33211380000012</c:v>
                </c:pt>
                <c:pt idx="4">
                  <c:v>663.1684193000001</c:v>
                </c:pt>
                <c:pt idx="5">
                  <c:v>662.26482603333318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E-4987-B520-FA9BA6A0E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661397"/>
        <c:axId val="1205318129"/>
      </c:lineChart>
      <c:catAx>
        <c:axId val="10976613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205318129"/>
        <c:crosses val="autoZero"/>
        <c:auto val="1"/>
        <c:lblAlgn val="ctr"/>
        <c:lblOffset val="100"/>
        <c:noMultiLvlLbl val="1"/>
      </c:catAx>
      <c:valAx>
        <c:axId val="12053181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D" sz="1000" b="1" i="0">
                    <a:solidFill>
                      <a:srgbClr val="000000"/>
                    </a:solidFill>
                    <a:latin typeface="Calibri"/>
                  </a:rPr>
                  <a:t>Ton</a:t>
                </a:r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09766139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561975</xdr:colOff>
      <xdr:row>9</xdr:row>
      <xdr:rowOff>114300</xdr:rowOff>
    </xdr:from>
    <xdr:ext cx="5248275" cy="2724150"/>
    <xdr:graphicFrame macro="">
      <xdr:nvGraphicFramePr>
        <xdr:cNvPr id="2" name="Chart 145" title="Chart">
          <a:extLst>
            <a:ext uri="{FF2B5EF4-FFF2-40B4-BE49-F238E27FC236}">
              <a16:creationId xmlns:a16="http://schemas.microsoft.com/office/drawing/2014/main" id="{1A8B6344-E6D4-470E-9EBD-07057317C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17</xdr:col>
      <xdr:colOff>28575</xdr:colOff>
      <xdr:row>27</xdr:row>
      <xdr:rowOff>95250</xdr:rowOff>
    </xdr:from>
    <xdr:ext cx="5267325" cy="3657600"/>
    <xdr:graphicFrame macro="">
      <xdr:nvGraphicFramePr>
        <xdr:cNvPr id="3" name="Chart 146" title="Chart">
          <a:extLst>
            <a:ext uri="{FF2B5EF4-FFF2-40B4-BE49-F238E27FC236}">
              <a16:creationId xmlns:a16="http://schemas.microsoft.com/office/drawing/2014/main" id="{B7025F6B-B266-446A-B9E8-E9E4005D9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295275</xdr:colOff>
      <xdr:row>59</xdr:row>
      <xdr:rowOff>9525</xdr:rowOff>
    </xdr:from>
    <xdr:ext cx="5334000" cy="2714625"/>
    <xdr:graphicFrame macro="">
      <xdr:nvGraphicFramePr>
        <xdr:cNvPr id="4" name="Chart 147" title="Chart">
          <a:extLst>
            <a:ext uri="{FF2B5EF4-FFF2-40B4-BE49-F238E27FC236}">
              <a16:creationId xmlns:a16="http://schemas.microsoft.com/office/drawing/2014/main" id="{BFD54EA9-6844-4678-8E98-90F52014C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8CCE-B8D4-47D0-8BEB-A540D8C39B63}">
  <sheetPr>
    <tabColor rgb="FF974806"/>
    <pageSetUpPr fitToPage="1"/>
  </sheetPr>
  <dimension ref="A1:AA1002"/>
  <sheetViews>
    <sheetView tabSelected="1" workbookViewId="0">
      <selection sqref="A1:J1"/>
    </sheetView>
  </sheetViews>
  <sheetFormatPr defaultColWidth="14.42578125" defaultRowHeight="15" customHeight="1" x14ac:dyDescent="0.2"/>
  <cols>
    <col min="1" max="1" width="4.7109375" style="4" customWidth="1"/>
    <col min="2" max="2" width="18.28515625" style="4" customWidth="1"/>
    <col min="3" max="3" width="9.42578125" style="4" customWidth="1"/>
    <col min="4" max="4" width="11.42578125" style="4" customWidth="1"/>
    <col min="5" max="5" width="9.42578125" style="4" customWidth="1"/>
    <col min="6" max="6" width="10.85546875" style="4" customWidth="1"/>
    <col min="7" max="7" width="12.85546875" style="4" customWidth="1"/>
    <col min="8" max="8" width="11.28515625" style="4" customWidth="1"/>
    <col min="9" max="9" width="11.140625" style="4" customWidth="1"/>
    <col min="10" max="10" width="12.28515625" style="4" customWidth="1"/>
    <col min="11" max="11" width="9.28515625" style="4" customWidth="1"/>
    <col min="12" max="12" width="6.28515625" style="4" customWidth="1"/>
    <col min="13" max="13" width="9.140625" style="4" customWidth="1"/>
    <col min="14" max="14" width="11.42578125" style="4" customWidth="1"/>
    <col min="15" max="23" width="9.140625" style="4" customWidth="1"/>
    <col min="24" max="24" width="9.140625" style="4" hidden="1" customWidth="1"/>
    <col min="25" max="27" width="9.140625" style="4" customWidth="1"/>
    <col min="28" max="16384" width="14.42578125" style="4"/>
  </cols>
  <sheetData>
    <row r="1" spans="1:27" ht="12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1</v>
      </c>
      <c r="L1" s="3"/>
      <c r="M1" s="3"/>
      <c r="AA1" s="5" t="s">
        <v>2</v>
      </c>
    </row>
    <row r="2" spans="1:27" ht="12.75" customHeight="1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27" ht="12.75" customHeight="1" x14ac:dyDescent="0.2">
      <c r="A3" s="1" t="s">
        <v>75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</row>
    <row r="4" spans="1:27" ht="12.75" customHeight="1" x14ac:dyDescent="0.2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</row>
    <row r="5" spans="1:27" ht="12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3"/>
      <c r="L5" s="3"/>
    </row>
    <row r="6" spans="1:27" ht="12.75" customHeight="1" x14ac:dyDescent="0.2">
      <c r="A6" s="8" t="s">
        <v>5</v>
      </c>
      <c r="B6" s="8" t="s">
        <v>6</v>
      </c>
      <c r="C6" s="9" t="s">
        <v>7</v>
      </c>
      <c r="D6" s="10"/>
      <c r="E6" s="10"/>
      <c r="F6" s="11"/>
      <c r="G6" s="12" t="s">
        <v>8</v>
      </c>
      <c r="H6" s="11"/>
      <c r="I6" s="13" t="s">
        <v>9</v>
      </c>
      <c r="J6" s="14" t="s">
        <v>10</v>
      </c>
      <c r="K6" s="3"/>
      <c r="L6" s="3"/>
    </row>
    <row r="7" spans="1:27" ht="12.75" customHeight="1" x14ac:dyDescent="0.2">
      <c r="A7" s="15"/>
      <c r="B7" s="15"/>
      <c r="C7" s="16"/>
      <c r="D7" s="7"/>
      <c r="E7" s="7"/>
      <c r="F7" s="17"/>
      <c r="G7" s="16"/>
      <c r="H7" s="17"/>
      <c r="I7" s="15"/>
      <c r="J7" s="15"/>
      <c r="K7" s="3"/>
      <c r="L7" s="3"/>
    </row>
    <row r="8" spans="1:27" ht="12.75" customHeight="1" x14ac:dyDescent="0.2">
      <c r="A8" s="15"/>
      <c r="B8" s="15"/>
      <c r="C8" s="8" t="s">
        <v>11</v>
      </c>
      <c r="D8" s="8" t="s">
        <v>12</v>
      </c>
      <c r="E8" s="8" t="s">
        <v>13</v>
      </c>
      <c r="F8" s="8" t="s">
        <v>14</v>
      </c>
      <c r="G8" s="18" t="s">
        <v>15</v>
      </c>
      <c r="H8" s="13" t="s">
        <v>16</v>
      </c>
      <c r="I8" s="15"/>
      <c r="J8" s="15"/>
      <c r="K8" s="3"/>
      <c r="L8" s="3"/>
      <c r="M8" s="19" t="s">
        <v>17</v>
      </c>
      <c r="N8" s="2"/>
      <c r="O8" s="19" t="s">
        <v>18</v>
      </c>
      <c r="P8" s="2"/>
    </row>
    <row r="9" spans="1:27" ht="20.25" customHeight="1" x14ac:dyDescent="0.2">
      <c r="A9" s="20"/>
      <c r="B9" s="15"/>
      <c r="C9" s="20"/>
      <c r="D9" s="20"/>
      <c r="E9" s="20"/>
      <c r="F9" s="15"/>
      <c r="G9" s="15"/>
      <c r="H9" s="20"/>
      <c r="I9" s="20"/>
      <c r="J9" s="15"/>
      <c r="K9" s="3"/>
      <c r="L9" s="3"/>
      <c r="M9" s="2"/>
      <c r="N9" s="2"/>
      <c r="O9" s="2"/>
      <c r="P9" s="2"/>
    </row>
    <row r="10" spans="1:27" ht="12.75" customHeight="1" x14ac:dyDescent="0.2">
      <c r="A10" s="21">
        <v>1</v>
      </c>
      <c r="B10" s="22">
        <v>2</v>
      </c>
      <c r="C10" s="23">
        <v>4</v>
      </c>
      <c r="D10" s="24">
        <v>5</v>
      </c>
      <c r="E10" s="24">
        <v>6</v>
      </c>
      <c r="F10" s="22">
        <v>3</v>
      </c>
      <c r="G10" s="22">
        <v>7</v>
      </c>
      <c r="H10" s="25">
        <v>8</v>
      </c>
      <c r="I10" s="26">
        <v>9</v>
      </c>
      <c r="J10" s="27">
        <v>10</v>
      </c>
      <c r="K10" s="3"/>
      <c r="L10" s="3"/>
      <c r="M10" s="28" t="s">
        <v>19</v>
      </c>
      <c r="N10" s="28" t="s">
        <v>20</v>
      </c>
      <c r="O10" s="28" t="s">
        <v>19</v>
      </c>
      <c r="P10" s="28" t="s">
        <v>21</v>
      </c>
      <c r="X10" s="29" t="str">
        <f>UPPER(AA1)</f>
        <v>LADA</v>
      </c>
    </row>
    <row r="11" spans="1:27" ht="12.75" customHeight="1" x14ac:dyDescent="0.2">
      <c r="A11" s="30">
        <v>1</v>
      </c>
      <c r="B11" s="31" t="s">
        <v>22</v>
      </c>
      <c r="C11" s="32">
        <v>76.739999999999995</v>
      </c>
      <c r="D11" s="32">
        <v>74.239999999999995</v>
      </c>
      <c r="E11" s="32">
        <v>12.69</v>
      </c>
      <c r="F11" s="33">
        <f t="shared" ref="F11:F42" si="0">SUM(C11:E11)</f>
        <v>163.66999999999999</v>
      </c>
      <c r="G11" s="32">
        <v>45.6</v>
      </c>
      <c r="H11" s="34">
        <f t="shared" ref="H11:H42" si="1">IFERROR(G11/D11*1000,0)</f>
        <v>614.22413793103453</v>
      </c>
      <c r="I11" s="34">
        <v>855</v>
      </c>
      <c r="J11" s="35">
        <f t="shared" ref="J11:J43" si="2">IF(I11=0,0,F11/I11)</f>
        <v>0.19142690058479531</v>
      </c>
      <c r="K11" s="3" t="str">
        <f>IF(F11=0,"",IF(G11=F11,"SALAH",""))</f>
        <v/>
      </c>
      <c r="L11" s="3"/>
      <c r="M11" s="31" t="str">
        <f ca="1">IFERROR(__xludf.DUMMYFUNCTION("QUERY($B$11:$H$42,""select B where F&lt;&gt;0 Order By F desc"")"),"Kab. Purbalingga")</f>
        <v>Kab. Purbalingga</v>
      </c>
      <c r="N11" s="36">
        <f ca="1">IFERROR(__xludf.DUMMYFUNCTION("QUERY($B$11:$H$42,""select F where F&lt;&gt;0 Order By F desc"")"),822.74)</f>
        <v>822.74</v>
      </c>
      <c r="O11" s="31" t="str">
        <f ca="1">IFERROR(__xludf.DUMMYFUNCTION("QUERY($B$11:$H$42,""select B where G&lt;&gt;0 Order By G desc"")"),"Kab. Purbalingga")</f>
        <v>Kab. Purbalingga</v>
      </c>
      <c r="P11" s="36">
        <f ca="1">IFERROR(__xludf.DUMMYFUNCTION("QUERY($B$11:$H$42,""select G where G&lt;&gt;0 Order By G desc"")"),199.05)</f>
        <v>199.05</v>
      </c>
      <c r="X11" s="37" t="str">
        <f t="shared" ref="X11:X42" si="3">IF(ISNUMBER(SEARCH("Kab. ",B11)),RIGHT(B11,LEN(B11)-FIND(" ",B11)),B11)</f>
        <v>Cilacap</v>
      </c>
    </row>
    <row r="12" spans="1:27" ht="12.75" customHeight="1" x14ac:dyDescent="0.2">
      <c r="A12" s="38">
        <v>2</v>
      </c>
      <c r="B12" s="39" t="s">
        <v>23</v>
      </c>
      <c r="C12" s="40">
        <v>16.72</v>
      </c>
      <c r="D12" s="40">
        <v>74.41</v>
      </c>
      <c r="E12" s="40">
        <v>14.19</v>
      </c>
      <c r="F12" s="41">
        <f t="shared" si="0"/>
        <v>105.32</v>
      </c>
      <c r="G12" s="40">
        <v>71.290000000000006</v>
      </c>
      <c r="H12" s="42">
        <f t="shared" si="1"/>
        <v>958.07015186130911</v>
      </c>
      <c r="I12" s="43">
        <v>1014</v>
      </c>
      <c r="J12" s="44">
        <f t="shared" si="2"/>
        <v>0.10386587771203155</v>
      </c>
      <c r="K12" s="3"/>
      <c r="L12" s="3"/>
      <c r="M12" s="39" t="str">
        <f ca="1">IFERROR(__xludf.DUMMYFUNCTION("""COMPUTED_VALUE"""),"Kab. Banjarnegara")</f>
        <v>Kab. Banjarnegara</v>
      </c>
      <c r="N12" s="45">
        <f ca="1">IFERROR(__xludf.DUMMYFUNCTION("""COMPUTED_VALUE"""),653.19)</f>
        <v>653.19000000000005</v>
      </c>
      <c r="O12" s="39" t="str">
        <f ca="1">IFERROR(__xludf.DUMMYFUNCTION("""COMPUTED_VALUE"""),"Kab. Banjarnegara")</f>
        <v>Kab. Banjarnegara</v>
      </c>
      <c r="P12" s="45">
        <f ca="1">IFERROR(__xludf.DUMMYFUNCTION("""COMPUTED_VALUE"""),110.5)</f>
        <v>110.5</v>
      </c>
      <c r="X12" s="37" t="str">
        <f t="shared" si="3"/>
        <v>Banyumas</v>
      </c>
    </row>
    <row r="13" spans="1:27" ht="12.75" customHeight="1" x14ac:dyDescent="0.2">
      <c r="A13" s="38">
        <v>3</v>
      </c>
      <c r="B13" s="39" t="s">
        <v>24</v>
      </c>
      <c r="C13" s="40">
        <v>229.89</v>
      </c>
      <c r="D13" s="40">
        <v>526.26</v>
      </c>
      <c r="E13" s="40">
        <v>66.59</v>
      </c>
      <c r="F13" s="41">
        <f t="shared" si="0"/>
        <v>822.74</v>
      </c>
      <c r="G13" s="40">
        <v>199.05</v>
      </c>
      <c r="H13" s="42">
        <f t="shared" si="1"/>
        <v>378.23509291984954</v>
      </c>
      <c r="I13" s="43">
        <v>1474</v>
      </c>
      <c r="J13" s="44">
        <f t="shared" si="2"/>
        <v>0.55816824966078693</v>
      </c>
      <c r="K13" s="3" t="s">
        <v>25</v>
      </c>
      <c r="L13" s="3" t="s">
        <v>26</v>
      </c>
      <c r="M13" s="39" t="str">
        <f ca="1">IFERROR(__xludf.DUMMYFUNCTION("""COMPUTED_VALUE"""),"Kab. Cilacap")</f>
        <v>Kab. Cilacap</v>
      </c>
      <c r="N13" s="45">
        <f ca="1">IFERROR(__xludf.DUMMYFUNCTION("""COMPUTED_VALUE"""),163.67)</f>
        <v>163.66999999999999</v>
      </c>
      <c r="O13" s="39" t="str">
        <f ca="1">IFERROR(__xludf.DUMMYFUNCTION("""COMPUTED_VALUE"""),"Kab. Banyumas")</f>
        <v>Kab. Banyumas</v>
      </c>
      <c r="P13" s="45">
        <f ca="1">IFERROR(__xludf.DUMMYFUNCTION("""COMPUTED_VALUE"""),71.29)</f>
        <v>71.290000000000006</v>
      </c>
      <c r="X13" s="37" t="str">
        <f t="shared" si="3"/>
        <v>Purbalingga</v>
      </c>
    </row>
    <row r="14" spans="1:27" ht="12.75" customHeight="1" x14ac:dyDescent="0.2">
      <c r="A14" s="38">
        <v>4</v>
      </c>
      <c r="B14" s="39" t="s">
        <v>27</v>
      </c>
      <c r="C14" s="41">
        <v>406.43</v>
      </c>
      <c r="D14" s="41">
        <v>175.81</v>
      </c>
      <c r="E14" s="41">
        <v>70.95</v>
      </c>
      <c r="F14" s="41">
        <f t="shared" si="0"/>
        <v>653.19000000000005</v>
      </c>
      <c r="G14" s="41">
        <v>110.5</v>
      </c>
      <c r="H14" s="42">
        <f t="shared" si="1"/>
        <v>628.51942437859054</v>
      </c>
      <c r="I14" s="46">
        <v>2267</v>
      </c>
      <c r="J14" s="44">
        <f t="shared" si="2"/>
        <v>0.28812968681076317</v>
      </c>
      <c r="K14" s="3"/>
      <c r="L14" s="3"/>
      <c r="M14" s="39" t="str">
        <f ca="1">IFERROR(__xludf.DUMMYFUNCTION("""COMPUTED_VALUE"""),"Kab. Banyumas")</f>
        <v>Kab. Banyumas</v>
      </c>
      <c r="N14" s="45">
        <f ca="1">IFERROR(__xludf.DUMMYFUNCTION("""COMPUTED_VALUE"""),105.32)</f>
        <v>105.32</v>
      </c>
      <c r="O14" s="39" t="str">
        <f ca="1">IFERROR(__xludf.DUMMYFUNCTION("""COMPUTED_VALUE"""),"Kab. Cilacap")</f>
        <v>Kab. Cilacap</v>
      </c>
      <c r="P14" s="45">
        <f ca="1">IFERROR(__xludf.DUMMYFUNCTION("""COMPUTED_VALUE"""),45.6)</f>
        <v>45.6</v>
      </c>
      <c r="X14" s="37" t="str">
        <f t="shared" si="3"/>
        <v>Banjarnegara</v>
      </c>
    </row>
    <row r="15" spans="1:27" ht="12.75" customHeight="1" x14ac:dyDescent="0.2">
      <c r="A15" s="38">
        <v>5</v>
      </c>
      <c r="B15" s="39" t="s">
        <v>28</v>
      </c>
      <c r="C15" s="40">
        <v>8.5</v>
      </c>
      <c r="D15" s="40">
        <v>35.75</v>
      </c>
      <c r="E15" s="40">
        <v>8.5</v>
      </c>
      <c r="F15" s="41">
        <f t="shared" si="0"/>
        <v>52.75</v>
      </c>
      <c r="G15" s="40">
        <v>16.37</v>
      </c>
      <c r="H15" s="42">
        <f t="shared" si="1"/>
        <v>457.90209790209792</v>
      </c>
      <c r="I15" s="43">
        <v>796</v>
      </c>
      <c r="J15" s="44">
        <f t="shared" si="2"/>
        <v>6.626884422110553E-2</v>
      </c>
      <c r="K15" s="3"/>
      <c r="L15" s="3"/>
      <c r="M15" s="39" t="str">
        <f ca="1">IFERROR(__xludf.DUMMYFUNCTION("""COMPUTED_VALUE"""),"Kab. Wonogiri")</f>
        <v>Kab. Wonogiri</v>
      </c>
      <c r="N15" s="45">
        <f ca="1">IFERROR(__xludf.DUMMYFUNCTION("""COMPUTED_VALUE"""),71)</f>
        <v>71</v>
      </c>
      <c r="O15" s="39" t="str">
        <f ca="1">IFERROR(__xludf.DUMMYFUNCTION("""COMPUTED_VALUE"""),"Kab. Wonosobo")</f>
        <v>Kab. Wonosobo</v>
      </c>
      <c r="P15" s="45">
        <f ca="1">IFERROR(__xludf.DUMMYFUNCTION("""COMPUTED_VALUE"""),24.96)</f>
        <v>24.96</v>
      </c>
      <c r="X15" s="37" t="str">
        <f t="shared" si="3"/>
        <v>Kebumen</v>
      </c>
    </row>
    <row r="16" spans="1:27" ht="12.75" customHeight="1" x14ac:dyDescent="0.2">
      <c r="A16" s="38">
        <v>6</v>
      </c>
      <c r="B16" s="39" t="s">
        <v>29</v>
      </c>
      <c r="C16" s="40">
        <v>8.39</v>
      </c>
      <c r="D16" s="40">
        <v>21.97</v>
      </c>
      <c r="E16" s="40">
        <v>0.5</v>
      </c>
      <c r="F16" s="41">
        <f t="shared" si="0"/>
        <v>30.86</v>
      </c>
      <c r="G16" s="40">
        <v>6.31</v>
      </c>
      <c r="H16" s="42">
        <f t="shared" si="1"/>
        <v>287.20983158852982</v>
      </c>
      <c r="I16" s="43">
        <v>1136</v>
      </c>
      <c r="J16" s="44">
        <f t="shared" si="2"/>
        <v>2.7165492957746479E-2</v>
      </c>
      <c r="K16" s="3"/>
      <c r="L16" s="3"/>
      <c r="M16" s="39" t="str">
        <f ca="1">IFERROR(__xludf.DUMMYFUNCTION("""COMPUTED_VALUE"""),"Kab. Kebumen")</f>
        <v>Kab. Kebumen</v>
      </c>
      <c r="N16" s="45">
        <f ca="1">IFERROR(__xludf.DUMMYFUNCTION("""COMPUTED_VALUE"""),52.75)</f>
        <v>52.75</v>
      </c>
      <c r="O16" s="39" t="str">
        <f ca="1">IFERROR(__xludf.DUMMYFUNCTION("""COMPUTED_VALUE"""),"Kab. Wonogiri")</f>
        <v>Kab. Wonogiri</v>
      </c>
      <c r="P16" s="45">
        <f ca="1">IFERROR(__xludf.DUMMYFUNCTION("""COMPUTED_VALUE"""),19.01)</f>
        <v>19.010000000000002</v>
      </c>
      <c r="X16" s="37" t="str">
        <f t="shared" si="3"/>
        <v>Purworejo</v>
      </c>
    </row>
    <row r="17" spans="1:24" ht="12.75" customHeight="1" x14ac:dyDescent="0.2">
      <c r="A17" s="38">
        <v>7</v>
      </c>
      <c r="B17" s="39" t="s">
        <v>30</v>
      </c>
      <c r="C17" s="41">
        <v>6.1</v>
      </c>
      <c r="D17" s="41">
        <v>35.590000000000003</v>
      </c>
      <c r="E17" s="41">
        <v>3.6</v>
      </c>
      <c r="F17" s="41">
        <f t="shared" si="0"/>
        <v>45.290000000000006</v>
      </c>
      <c r="G17" s="41">
        <v>24.96</v>
      </c>
      <c r="H17" s="42">
        <f t="shared" si="1"/>
        <v>701.32059567294175</v>
      </c>
      <c r="I17" s="46">
        <v>325</v>
      </c>
      <c r="J17" s="44">
        <f t="shared" si="2"/>
        <v>0.13935384615384616</v>
      </c>
      <c r="K17" s="3"/>
      <c r="L17" s="3"/>
      <c r="M17" s="39" t="str">
        <f ca="1">IFERROR(__xludf.DUMMYFUNCTION("""COMPUTED_VALUE"""),"Kab. Wonosobo")</f>
        <v>Kab. Wonosobo</v>
      </c>
      <c r="N17" s="45">
        <f ca="1">IFERROR(__xludf.DUMMYFUNCTION("""COMPUTED_VALUE"""),45.29)</f>
        <v>45.29</v>
      </c>
      <c r="O17" s="39" t="str">
        <f ca="1">IFERROR(__xludf.DUMMYFUNCTION("""COMPUTED_VALUE"""),"Kab. Kebumen")</f>
        <v>Kab. Kebumen</v>
      </c>
      <c r="P17" s="45">
        <f ca="1">IFERROR(__xludf.DUMMYFUNCTION("""COMPUTED_VALUE"""),16.37)</f>
        <v>16.37</v>
      </c>
      <c r="X17" s="37" t="str">
        <f t="shared" si="3"/>
        <v>Wonosobo</v>
      </c>
    </row>
    <row r="18" spans="1:24" ht="12.75" customHeight="1" x14ac:dyDescent="0.2">
      <c r="A18" s="38">
        <v>8</v>
      </c>
      <c r="B18" s="39" t="s">
        <v>31</v>
      </c>
      <c r="C18" s="41">
        <v>20.8</v>
      </c>
      <c r="D18" s="41">
        <v>3.8</v>
      </c>
      <c r="E18" s="41">
        <v>0</v>
      </c>
      <c r="F18" s="41">
        <f t="shared" si="0"/>
        <v>24.6</v>
      </c>
      <c r="G18" s="41">
        <v>0.68</v>
      </c>
      <c r="H18" s="42">
        <f t="shared" si="1"/>
        <v>178.94736842105266</v>
      </c>
      <c r="I18" s="46">
        <v>127</v>
      </c>
      <c r="J18" s="44">
        <f t="shared" si="2"/>
        <v>0.19370078740157481</v>
      </c>
      <c r="K18" s="3" t="s">
        <v>32</v>
      </c>
      <c r="L18" s="3" t="s">
        <v>26</v>
      </c>
      <c r="M18" s="39" t="str">
        <f ca="1">IFERROR(__xludf.DUMMYFUNCTION("""COMPUTED_VALUE"""),"Kab. Kendal")</f>
        <v>Kab. Kendal</v>
      </c>
      <c r="N18" s="45">
        <f ca="1">IFERROR(__xludf.DUMMYFUNCTION("""COMPUTED_VALUE"""),41.42)</f>
        <v>41.42</v>
      </c>
      <c r="O18" s="39" t="str">
        <f ca="1">IFERROR(__xludf.DUMMYFUNCTION("""COMPUTED_VALUE"""),"Kab. Brebes")</f>
        <v>Kab. Brebes</v>
      </c>
      <c r="P18" s="45">
        <f ca="1">IFERROR(__xludf.DUMMYFUNCTION("""COMPUTED_VALUE"""),13.45)</f>
        <v>13.45</v>
      </c>
      <c r="X18" s="37" t="str">
        <f t="shared" si="3"/>
        <v>Magelang</v>
      </c>
    </row>
    <row r="19" spans="1:24" ht="12.75" customHeight="1" x14ac:dyDescent="0.2">
      <c r="A19" s="38">
        <v>9</v>
      </c>
      <c r="B19" s="39" t="s">
        <v>33</v>
      </c>
      <c r="C19" s="41">
        <v>0.56000000000000005</v>
      </c>
      <c r="D19" s="41">
        <v>18.100000000000001</v>
      </c>
      <c r="E19" s="41">
        <v>1</v>
      </c>
      <c r="F19" s="41">
        <f t="shared" si="0"/>
        <v>19.66</v>
      </c>
      <c r="G19" s="41">
        <v>9.3699999999999992</v>
      </c>
      <c r="H19" s="42">
        <f t="shared" si="1"/>
        <v>517.67955801104961</v>
      </c>
      <c r="I19" s="46">
        <v>125</v>
      </c>
      <c r="J19" s="44">
        <f t="shared" si="2"/>
        <v>0.15728</v>
      </c>
      <c r="K19" s="3"/>
      <c r="L19" s="3"/>
      <c r="M19" s="39" t="str">
        <f ca="1">IFERROR(__xludf.DUMMYFUNCTION("""COMPUTED_VALUE"""),"Kab. Jepara")</f>
        <v>Kab. Jepara</v>
      </c>
      <c r="N19" s="45">
        <f ca="1">IFERROR(__xludf.DUMMYFUNCTION("""COMPUTED_VALUE"""),34.59)</f>
        <v>34.590000000000003</v>
      </c>
      <c r="O19" s="39" t="str">
        <f ca="1">IFERROR(__xludf.DUMMYFUNCTION("""COMPUTED_VALUE"""),"Kab. Boyolali")</f>
        <v>Kab. Boyolali</v>
      </c>
      <c r="P19" s="45">
        <f ca="1">IFERROR(__xludf.DUMMYFUNCTION("""COMPUTED_VALUE"""),9.37)</f>
        <v>9.3699999999999992</v>
      </c>
      <c r="X19" s="37" t="str">
        <f t="shared" si="3"/>
        <v>Boyolali</v>
      </c>
    </row>
    <row r="20" spans="1:24" ht="12.75" customHeight="1" x14ac:dyDescent="0.2">
      <c r="A20" s="38">
        <v>10</v>
      </c>
      <c r="B20" s="39" t="s">
        <v>34</v>
      </c>
      <c r="C20" s="41">
        <v>9.17</v>
      </c>
      <c r="D20" s="41">
        <v>1.33</v>
      </c>
      <c r="E20" s="41">
        <v>0</v>
      </c>
      <c r="F20" s="41">
        <f t="shared" si="0"/>
        <v>10.5</v>
      </c>
      <c r="G20" s="41">
        <v>1.77</v>
      </c>
      <c r="H20" s="42">
        <f t="shared" si="1"/>
        <v>1330.8270676691729</v>
      </c>
      <c r="I20" s="46">
        <v>2036</v>
      </c>
      <c r="J20" s="44">
        <f t="shared" si="2"/>
        <v>5.1571709233791752E-3</v>
      </c>
      <c r="K20" s="3"/>
      <c r="L20" s="3"/>
      <c r="M20" s="39" t="str">
        <f ca="1">IFERROR(__xludf.DUMMYFUNCTION("""COMPUTED_VALUE"""),"Kab. Temanggung")</f>
        <v>Kab. Temanggung</v>
      </c>
      <c r="N20" s="45">
        <f ca="1">IFERROR(__xludf.DUMMYFUNCTION("""COMPUTED_VALUE"""),31.78)</f>
        <v>31.78</v>
      </c>
      <c r="O20" s="39" t="str">
        <f ca="1">IFERROR(__xludf.DUMMYFUNCTION("""COMPUTED_VALUE"""),"Kab. Temanggung")</f>
        <v>Kab. Temanggung</v>
      </c>
      <c r="P20" s="45">
        <f ca="1">IFERROR(__xludf.DUMMYFUNCTION("""COMPUTED_VALUE"""),8.2)</f>
        <v>8.1999999999999993</v>
      </c>
      <c r="X20" s="37" t="str">
        <f t="shared" si="3"/>
        <v>Klaten</v>
      </c>
    </row>
    <row r="21" spans="1:24" ht="12.75" customHeight="1" x14ac:dyDescent="0.2">
      <c r="A21" s="38">
        <v>11</v>
      </c>
      <c r="B21" s="39" t="s">
        <v>35</v>
      </c>
      <c r="C21" s="41">
        <v>1.72</v>
      </c>
      <c r="D21" s="41">
        <v>0.23</v>
      </c>
      <c r="E21" s="41">
        <v>0.09</v>
      </c>
      <c r="F21" s="41">
        <f t="shared" si="0"/>
        <v>2.04</v>
      </c>
      <c r="G21" s="41">
        <v>0.26</v>
      </c>
      <c r="H21" s="42">
        <f t="shared" si="1"/>
        <v>1130.4347826086955</v>
      </c>
      <c r="I21" s="46">
        <v>100</v>
      </c>
      <c r="J21" s="44">
        <f t="shared" si="2"/>
        <v>2.0400000000000001E-2</v>
      </c>
      <c r="K21" s="3"/>
      <c r="L21" s="3"/>
      <c r="M21" s="39" t="str">
        <f ca="1">IFERROR(__xludf.DUMMYFUNCTION("""COMPUTED_VALUE"""),"Kab. Purworejo")</f>
        <v>Kab. Purworejo</v>
      </c>
      <c r="N21" s="45">
        <f ca="1">IFERROR(__xludf.DUMMYFUNCTION("""COMPUTED_VALUE"""),30.86)</f>
        <v>30.86</v>
      </c>
      <c r="O21" s="39" t="str">
        <f ca="1">IFERROR(__xludf.DUMMYFUNCTION("""COMPUTED_VALUE"""),"Kab. Kendal")</f>
        <v>Kab. Kendal</v>
      </c>
      <c r="P21" s="45">
        <f ca="1">IFERROR(__xludf.DUMMYFUNCTION("""COMPUTED_VALUE"""),6.41)</f>
        <v>6.41</v>
      </c>
      <c r="X21" s="37" t="str">
        <f t="shared" si="3"/>
        <v>Sukoharjo</v>
      </c>
    </row>
    <row r="22" spans="1:24" ht="12.75" customHeight="1" x14ac:dyDescent="0.2">
      <c r="A22" s="38">
        <v>12</v>
      </c>
      <c r="B22" s="39" t="s">
        <v>36</v>
      </c>
      <c r="C22" s="41">
        <v>0</v>
      </c>
      <c r="D22" s="41">
        <v>59</v>
      </c>
      <c r="E22" s="41">
        <v>12</v>
      </c>
      <c r="F22" s="41">
        <f t="shared" si="0"/>
        <v>71</v>
      </c>
      <c r="G22" s="41">
        <v>19.010000000000002</v>
      </c>
      <c r="H22" s="42">
        <f t="shared" si="1"/>
        <v>322.20338983050851</v>
      </c>
      <c r="I22" s="46">
        <v>341</v>
      </c>
      <c r="J22" s="44">
        <f t="shared" si="2"/>
        <v>0.20821114369501467</v>
      </c>
      <c r="K22" s="3"/>
      <c r="L22" s="3"/>
      <c r="M22" s="39" t="str">
        <f ca="1">IFERROR(__xludf.DUMMYFUNCTION("""COMPUTED_VALUE"""),"Kab. Brebes")</f>
        <v>Kab. Brebes</v>
      </c>
      <c r="N22" s="45">
        <f ca="1">IFERROR(__xludf.DUMMYFUNCTION("""COMPUTED_VALUE"""),28.75)</f>
        <v>28.75</v>
      </c>
      <c r="O22" s="39" t="str">
        <f ca="1">IFERROR(__xludf.DUMMYFUNCTION("""COMPUTED_VALUE"""),"Kab. Purworejo")</f>
        <v>Kab. Purworejo</v>
      </c>
      <c r="P22" s="45">
        <f ca="1">IFERROR(__xludf.DUMMYFUNCTION("""COMPUTED_VALUE"""),6.31)</f>
        <v>6.31</v>
      </c>
      <c r="X22" s="37" t="str">
        <f t="shared" si="3"/>
        <v>Wonogiri</v>
      </c>
    </row>
    <row r="23" spans="1:24" ht="12.75" customHeight="1" x14ac:dyDescent="0.2">
      <c r="A23" s="38">
        <v>13</v>
      </c>
      <c r="B23" s="39" t="s">
        <v>37</v>
      </c>
      <c r="C23" s="41">
        <v>0.64</v>
      </c>
      <c r="D23" s="41">
        <v>0.1</v>
      </c>
      <c r="E23" s="41">
        <v>0.04</v>
      </c>
      <c r="F23" s="41">
        <f t="shared" si="0"/>
        <v>0.78</v>
      </c>
      <c r="G23" s="41">
        <v>0.02</v>
      </c>
      <c r="H23" s="42">
        <f t="shared" si="1"/>
        <v>199.99999999999997</v>
      </c>
      <c r="I23" s="46">
        <v>48</v>
      </c>
      <c r="J23" s="44">
        <f t="shared" si="2"/>
        <v>1.6250000000000001E-2</v>
      </c>
      <c r="K23" s="3"/>
      <c r="L23" s="3"/>
      <c r="M23" s="39" t="str">
        <f ca="1">IFERROR(__xludf.DUMMYFUNCTION("""COMPUTED_VALUE"""),"Kab. Magelang")</f>
        <v>Kab. Magelang</v>
      </c>
      <c r="N23" s="45">
        <f ca="1">IFERROR(__xludf.DUMMYFUNCTION("""COMPUTED_VALUE"""),24.6)</f>
        <v>24.6</v>
      </c>
      <c r="O23" s="39" t="str">
        <f ca="1">IFERROR(__xludf.DUMMYFUNCTION("""COMPUTED_VALUE"""),"Kab. Jepara")</f>
        <v>Kab. Jepara</v>
      </c>
      <c r="P23" s="45">
        <f ca="1">IFERROR(__xludf.DUMMYFUNCTION("""COMPUTED_VALUE"""),6.25)</f>
        <v>6.25</v>
      </c>
      <c r="X23" s="37" t="str">
        <f t="shared" si="3"/>
        <v>Karanganyar</v>
      </c>
    </row>
    <row r="24" spans="1:24" ht="12.75" customHeight="1" x14ac:dyDescent="0.2">
      <c r="A24" s="38">
        <v>14</v>
      </c>
      <c r="B24" s="39" t="s">
        <v>38</v>
      </c>
      <c r="C24" s="41">
        <v>0</v>
      </c>
      <c r="D24" s="41">
        <v>0</v>
      </c>
      <c r="E24" s="41">
        <v>0</v>
      </c>
      <c r="F24" s="41">
        <f t="shared" si="0"/>
        <v>0</v>
      </c>
      <c r="G24" s="41">
        <v>0</v>
      </c>
      <c r="H24" s="42">
        <f t="shared" si="1"/>
        <v>0</v>
      </c>
      <c r="I24" s="46">
        <v>0</v>
      </c>
      <c r="J24" s="44">
        <f t="shared" si="2"/>
        <v>0</v>
      </c>
      <c r="K24" s="3"/>
      <c r="L24" s="3"/>
      <c r="M24" s="39" t="str">
        <f ca="1">IFERROR(__xludf.DUMMYFUNCTION("""COMPUTED_VALUE"""),"Kab. Boyolali")</f>
        <v>Kab. Boyolali</v>
      </c>
      <c r="N24" s="45">
        <f ca="1">IFERROR(__xludf.DUMMYFUNCTION("""COMPUTED_VALUE"""),19.66)</f>
        <v>19.66</v>
      </c>
      <c r="O24" s="39" t="str">
        <f ca="1">IFERROR(__xludf.DUMMYFUNCTION("""COMPUTED_VALUE"""),"Kab. Pemalang")</f>
        <v>Kab. Pemalang</v>
      </c>
      <c r="P24" s="45">
        <f ca="1">IFERROR(__xludf.DUMMYFUNCTION("""COMPUTED_VALUE"""),3.12)</f>
        <v>3.12</v>
      </c>
      <c r="X24" s="37" t="str">
        <f t="shared" si="3"/>
        <v>Sragen</v>
      </c>
    </row>
    <row r="25" spans="1:24" ht="12.75" customHeight="1" x14ac:dyDescent="0.2">
      <c r="A25" s="38">
        <v>15</v>
      </c>
      <c r="B25" s="39" t="s">
        <v>39</v>
      </c>
      <c r="C25" s="41">
        <v>0</v>
      </c>
      <c r="D25" s="41">
        <v>0</v>
      </c>
      <c r="E25" s="40">
        <v>0</v>
      </c>
      <c r="F25" s="41">
        <f t="shared" si="0"/>
        <v>0</v>
      </c>
      <c r="G25" s="41">
        <v>0</v>
      </c>
      <c r="H25" s="42">
        <f t="shared" si="1"/>
        <v>0</v>
      </c>
      <c r="I25" s="46">
        <v>0</v>
      </c>
      <c r="J25" s="44">
        <f t="shared" si="2"/>
        <v>0</v>
      </c>
      <c r="K25" s="3"/>
      <c r="L25" s="3"/>
      <c r="M25" s="39" t="str">
        <f ca="1">IFERROR(__xludf.DUMMYFUNCTION("""COMPUTED_VALUE"""),"Kab. Pemalang")</f>
        <v>Kab. Pemalang</v>
      </c>
      <c r="N25" s="45">
        <f ca="1">IFERROR(__xludf.DUMMYFUNCTION("""COMPUTED_VALUE"""),17.18)</f>
        <v>17.18</v>
      </c>
      <c r="O25" s="39" t="str">
        <f ca="1">IFERROR(__xludf.DUMMYFUNCTION("""COMPUTED_VALUE"""),"Kab. Pekalongan")</f>
        <v>Kab. Pekalongan</v>
      </c>
      <c r="P25" s="45">
        <f ca="1">IFERROR(__xludf.DUMMYFUNCTION("""COMPUTED_VALUE"""),3.05)</f>
        <v>3.05</v>
      </c>
      <c r="X25" s="37" t="str">
        <f t="shared" si="3"/>
        <v>Grobogan</v>
      </c>
    </row>
    <row r="26" spans="1:24" ht="12.75" customHeight="1" x14ac:dyDescent="0.2">
      <c r="A26" s="38">
        <v>16</v>
      </c>
      <c r="B26" s="39" t="s">
        <v>40</v>
      </c>
      <c r="C26" s="41">
        <v>0</v>
      </c>
      <c r="D26" s="41">
        <v>0</v>
      </c>
      <c r="E26" s="41">
        <v>0</v>
      </c>
      <c r="F26" s="41">
        <f t="shared" si="0"/>
        <v>0</v>
      </c>
      <c r="G26" s="41">
        <v>0</v>
      </c>
      <c r="H26" s="42">
        <f t="shared" si="1"/>
        <v>0</v>
      </c>
      <c r="I26" s="46">
        <v>0</v>
      </c>
      <c r="J26" s="44">
        <f t="shared" si="2"/>
        <v>0</v>
      </c>
      <c r="K26" s="3"/>
      <c r="L26" s="3"/>
      <c r="M26" s="39" t="str">
        <f ca="1">IFERROR(__xludf.DUMMYFUNCTION("""COMPUTED_VALUE"""),"Kab. Batang")</f>
        <v>Kab. Batang</v>
      </c>
      <c r="N26" s="45">
        <f ca="1">IFERROR(__xludf.DUMMYFUNCTION("""COMPUTED_VALUE"""),15.68)</f>
        <v>15.68</v>
      </c>
      <c r="O26" s="39" t="str">
        <f ca="1">IFERROR(__xludf.DUMMYFUNCTION("""COMPUTED_VALUE"""),"Kab. Batang")</f>
        <v>Kab. Batang</v>
      </c>
      <c r="P26" s="45">
        <f ca="1">IFERROR(__xludf.DUMMYFUNCTION("""COMPUTED_VALUE"""),2.36)</f>
        <v>2.36</v>
      </c>
      <c r="X26" s="37" t="str">
        <f t="shared" si="3"/>
        <v>Blora</v>
      </c>
    </row>
    <row r="27" spans="1:24" ht="12.75" customHeight="1" x14ac:dyDescent="0.2">
      <c r="A27" s="38">
        <v>17</v>
      </c>
      <c r="B27" s="39" t="s">
        <v>41</v>
      </c>
      <c r="C27" s="41">
        <v>0</v>
      </c>
      <c r="D27" s="41">
        <v>0</v>
      </c>
      <c r="E27" s="41">
        <v>0</v>
      </c>
      <c r="F27" s="41">
        <f t="shared" si="0"/>
        <v>0</v>
      </c>
      <c r="G27" s="41">
        <v>0</v>
      </c>
      <c r="H27" s="42">
        <f t="shared" si="1"/>
        <v>0</v>
      </c>
      <c r="I27" s="46">
        <v>0</v>
      </c>
      <c r="J27" s="44">
        <f t="shared" si="2"/>
        <v>0</v>
      </c>
      <c r="K27" s="3"/>
      <c r="L27" s="3"/>
      <c r="M27" s="39" t="str">
        <f ca="1">IFERROR(__xludf.DUMMYFUNCTION("""COMPUTED_VALUE"""),"Kab. Pati")</f>
        <v>Kab. Pati</v>
      </c>
      <c r="N27" s="45">
        <f ca="1">IFERROR(__xludf.DUMMYFUNCTION("""COMPUTED_VALUE"""),13.1)</f>
        <v>13.1</v>
      </c>
      <c r="O27" s="39" t="str">
        <f ca="1">IFERROR(__xludf.DUMMYFUNCTION("""COMPUTED_VALUE"""),"Kab. Klaten")</f>
        <v>Kab. Klaten</v>
      </c>
      <c r="P27" s="45">
        <f ca="1">IFERROR(__xludf.DUMMYFUNCTION("""COMPUTED_VALUE"""),1.77)</f>
        <v>1.77</v>
      </c>
      <c r="X27" s="37" t="str">
        <f t="shared" si="3"/>
        <v>Rembang</v>
      </c>
    </row>
    <row r="28" spans="1:24" ht="12.75" customHeight="1" x14ac:dyDescent="0.2">
      <c r="A28" s="38">
        <v>18</v>
      </c>
      <c r="B28" s="47" t="s">
        <v>42</v>
      </c>
      <c r="C28" s="41">
        <v>10.199999999999999</v>
      </c>
      <c r="D28" s="41">
        <v>2.9</v>
      </c>
      <c r="E28" s="41">
        <v>0</v>
      </c>
      <c r="F28" s="41">
        <f t="shared" si="0"/>
        <v>13.1</v>
      </c>
      <c r="G28" s="41">
        <v>0.74</v>
      </c>
      <c r="H28" s="42">
        <f t="shared" si="1"/>
        <v>255.17241379310346</v>
      </c>
      <c r="I28" s="46">
        <v>48</v>
      </c>
      <c r="J28" s="44">
        <f t="shared" si="2"/>
        <v>0.27291666666666664</v>
      </c>
      <c r="K28" s="3"/>
      <c r="L28" s="3"/>
      <c r="M28" s="39" t="str">
        <f ca="1">IFERROR(__xludf.DUMMYFUNCTION("""COMPUTED_VALUE"""),"Kab. Semarang")</f>
        <v>Kab. Semarang</v>
      </c>
      <c r="N28" s="45">
        <f ca="1">IFERROR(__xludf.DUMMYFUNCTION("""COMPUTED_VALUE"""),11.69)</f>
        <v>11.69</v>
      </c>
      <c r="O28" s="39" t="str">
        <f ca="1">IFERROR(__xludf.DUMMYFUNCTION("""COMPUTED_VALUE"""),"Kab. Tegal")</f>
        <v>Kab. Tegal</v>
      </c>
      <c r="P28" s="45">
        <f ca="1">IFERROR(__xludf.DUMMYFUNCTION("""COMPUTED_VALUE"""),0.95)</f>
        <v>0.95</v>
      </c>
      <c r="X28" s="37" t="str">
        <f t="shared" si="3"/>
        <v>Pati</v>
      </c>
    </row>
    <row r="29" spans="1:24" ht="12.75" customHeight="1" x14ac:dyDescent="0.2">
      <c r="A29" s="38">
        <v>19</v>
      </c>
      <c r="B29" s="47" t="s">
        <v>43</v>
      </c>
      <c r="C29" s="41">
        <v>0.6</v>
      </c>
      <c r="D29" s="41">
        <v>1.6</v>
      </c>
      <c r="E29" s="41">
        <v>0</v>
      </c>
      <c r="F29" s="41">
        <f t="shared" si="0"/>
        <v>2.2000000000000002</v>
      </c>
      <c r="G29" s="41">
        <v>0.5</v>
      </c>
      <c r="H29" s="42">
        <f t="shared" si="1"/>
        <v>312.5</v>
      </c>
      <c r="I29" s="46">
        <v>7</v>
      </c>
      <c r="J29" s="44">
        <f t="shared" si="2"/>
        <v>0.31428571428571433</v>
      </c>
      <c r="K29" s="3"/>
      <c r="L29" s="3"/>
      <c r="M29" s="39" t="str">
        <f ca="1">IFERROR(__xludf.DUMMYFUNCTION("""COMPUTED_VALUE"""),"Kab. Klaten")</f>
        <v>Kab. Klaten</v>
      </c>
      <c r="N29" s="45">
        <f ca="1">IFERROR(__xludf.DUMMYFUNCTION("""COMPUTED_VALUE"""),10.5)</f>
        <v>10.5</v>
      </c>
      <c r="O29" s="39" t="str">
        <f ca="1">IFERROR(__xludf.DUMMYFUNCTION("""COMPUTED_VALUE"""),"Kab. Semarang")</f>
        <v>Kab. Semarang</v>
      </c>
      <c r="P29" s="45">
        <f ca="1">IFERROR(__xludf.DUMMYFUNCTION("""COMPUTED_VALUE"""),0.91)</f>
        <v>0.91</v>
      </c>
      <c r="X29" s="37" t="str">
        <f t="shared" si="3"/>
        <v>Kudus</v>
      </c>
    </row>
    <row r="30" spans="1:24" ht="12.75" customHeight="1" x14ac:dyDescent="0.2">
      <c r="A30" s="38">
        <v>20</v>
      </c>
      <c r="B30" s="47" t="s">
        <v>44</v>
      </c>
      <c r="C30" s="41">
        <v>6.37</v>
      </c>
      <c r="D30" s="41">
        <v>27.91</v>
      </c>
      <c r="E30" s="41">
        <v>0.31</v>
      </c>
      <c r="F30" s="41">
        <f t="shared" si="0"/>
        <v>34.590000000000003</v>
      </c>
      <c r="G30" s="41">
        <v>6.25</v>
      </c>
      <c r="H30" s="42">
        <f t="shared" si="1"/>
        <v>223.93407380867072</v>
      </c>
      <c r="I30" s="46">
        <v>204</v>
      </c>
      <c r="J30" s="44">
        <f t="shared" si="2"/>
        <v>0.16955882352941179</v>
      </c>
      <c r="K30" s="3"/>
      <c r="L30" s="3"/>
      <c r="M30" s="39" t="str">
        <f ca="1">IFERROR(__xludf.DUMMYFUNCTION("""COMPUTED_VALUE"""),"Kab. Pekalongan")</f>
        <v>Kab. Pekalongan</v>
      </c>
      <c r="N30" s="45">
        <f ca="1">IFERROR(__xludf.DUMMYFUNCTION("""COMPUTED_VALUE"""),9.69)</f>
        <v>9.69</v>
      </c>
      <c r="O30" s="39" t="str">
        <f ca="1">IFERROR(__xludf.DUMMYFUNCTION("""COMPUTED_VALUE"""),"Kab. Pati")</f>
        <v>Kab. Pati</v>
      </c>
      <c r="P30" s="45">
        <f ca="1">IFERROR(__xludf.DUMMYFUNCTION("""COMPUTED_VALUE"""),0.74)</f>
        <v>0.74</v>
      </c>
      <c r="X30" s="37" t="str">
        <f t="shared" si="3"/>
        <v>Jepara</v>
      </c>
    </row>
    <row r="31" spans="1:24" ht="12.75" customHeight="1" x14ac:dyDescent="0.2">
      <c r="A31" s="38">
        <v>21</v>
      </c>
      <c r="B31" s="47" t="s">
        <v>45</v>
      </c>
      <c r="C31" s="40">
        <v>0</v>
      </c>
      <c r="D31" s="40">
        <v>0</v>
      </c>
      <c r="E31" s="41">
        <v>0</v>
      </c>
      <c r="F31" s="41">
        <f t="shared" si="0"/>
        <v>0</v>
      </c>
      <c r="G31" s="40">
        <v>0</v>
      </c>
      <c r="H31" s="40">
        <f t="shared" si="1"/>
        <v>0</v>
      </c>
      <c r="I31" s="40">
        <v>0</v>
      </c>
      <c r="J31" s="40">
        <f t="shared" si="2"/>
        <v>0</v>
      </c>
      <c r="K31" s="3"/>
      <c r="L31" s="3"/>
      <c r="M31" s="39" t="str">
        <f ca="1">IFERROR(__xludf.DUMMYFUNCTION("""COMPUTED_VALUE"""),"Kab. Tegal")</f>
        <v>Kab. Tegal</v>
      </c>
      <c r="N31" s="45">
        <f ca="1">IFERROR(__xludf.DUMMYFUNCTION("""COMPUTED_VALUE"""),4.9)</f>
        <v>4.9000000000000004</v>
      </c>
      <c r="O31" s="39" t="str">
        <f ca="1">IFERROR(__xludf.DUMMYFUNCTION("""COMPUTED_VALUE"""),"Kab. Magelang")</f>
        <v>Kab. Magelang</v>
      </c>
      <c r="P31" s="45">
        <f ca="1">IFERROR(__xludf.DUMMYFUNCTION("""COMPUTED_VALUE"""),0.68)</f>
        <v>0.68</v>
      </c>
      <c r="X31" s="37" t="str">
        <f t="shared" si="3"/>
        <v>Demak</v>
      </c>
    </row>
    <row r="32" spans="1:24" ht="12.75" customHeight="1" x14ac:dyDescent="0.2">
      <c r="A32" s="38">
        <v>22</v>
      </c>
      <c r="B32" s="47" t="s">
        <v>46</v>
      </c>
      <c r="C32" s="40">
        <v>7.5</v>
      </c>
      <c r="D32" s="40">
        <v>3.55</v>
      </c>
      <c r="E32" s="40">
        <v>0.64</v>
      </c>
      <c r="F32" s="41">
        <f t="shared" si="0"/>
        <v>11.690000000000001</v>
      </c>
      <c r="G32" s="40">
        <v>0.91</v>
      </c>
      <c r="H32" s="42">
        <f t="shared" si="1"/>
        <v>256.33802816901414</v>
      </c>
      <c r="I32" s="43">
        <v>429</v>
      </c>
      <c r="J32" s="44">
        <f t="shared" si="2"/>
        <v>2.7249417249417252E-2</v>
      </c>
      <c r="K32" s="3"/>
      <c r="L32" s="3"/>
      <c r="M32" s="39" t="str">
        <f ca="1">IFERROR(__xludf.DUMMYFUNCTION("""COMPUTED_VALUE"""),"Kab. Kudus")</f>
        <v>Kab. Kudus</v>
      </c>
      <c r="N32" s="45">
        <f ca="1">IFERROR(__xludf.DUMMYFUNCTION("""COMPUTED_VALUE"""),2.2)</f>
        <v>2.2000000000000002</v>
      </c>
      <c r="O32" s="39" t="str">
        <f ca="1">IFERROR(__xludf.DUMMYFUNCTION("""COMPUTED_VALUE"""),"Kab. Kudus")</f>
        <v>Kab. Kudus</v>
      </c>
      <c r="P32" s="45">
        <f ca="1">IFERROR(__xludf.DUMMYFUNCTION("""COMPUTED_VALUE"""),0.5)</f>
        <v>0.5</v>
      </c>
      <c r="X32" s="37" t="str">
        <f t="shared" si="3"/>
        <v>Semarang</v>
      </c>
    </row>
    <row r="33" spans="1:24" ht="12.75" customHeight="1" x14ac:dyDescent="0.2">
      <c r="A33" s="38">
        <v>23</v>
      </c>
      <c r="B33" s="47" t="s">
        <v>47</v>
      </c>
      <c r="C33" s="41">
        <v>8.2100000000000009</v>
      </c>
      <c r="D33" s="41">
        <v>18.510000000000002</v>
      </c>
      <c r="E33" s="41">
        <v>5.0599999999999996</v>
      </c>
      <c r="F33" s="41">
        <f t="shared" si="0"/>
        <v>31.78</v>
      </c>
      <c r="G33" s="41">
        <v>8.1999999999999993</v>
      </c>
      <c r="H33" s="42">
        <f t="shared" si="1"/>
        <v>443.00378173960013</v>
      </c>
      <c r="I33" s="46">
        <v>403</v>
      </c>
      <c r="J33" s="44">
        <f t="shared" si="2"/>
        <v>7.8858560794044671E-2</v>
      </c>
      <c r="K33" s="3"/>
      <c r="L33" s="3"/>
      <c r="M33" s="39" t="str">
        <f ca="1">IFERROR(__xludf.DUMMYFUNCTION("""COMPUTED_VALUE"""),"Kab. Sukoharjo")</f>
        <v>Kab. Sukoharjo</v>
      </c>
      <c r="N33" s="45">
        <f ca="1">IFERROR(__xludf.DUMMYFUNCTION("""COMPUTED_VALUE"""),2.04)</f>
        <v>2.04</v>
      </c>
      <c r="O33" s="39" t="str">
        <f ca="1">IFERROR(__xludf.DUMMYFUNCTION("""COMPUTED_VALUE"""),"Kab. Sukoharjo")</f>
        <v>Kab. Sukoharjo</v>
      </c>
      <c r="P33" s="45">
        <f ca="1">IFERROR(__xludf.DUMMYFUNCTION("""COMPUTED_VALUE"""),0.26)</f>
        <v>0.26</v>
      </c>
      <c r="X33" s="37" t="str">
        <f t="shared" si="3"/>
        <v>Temanggung</v>
      </c>
    </row>
    <row r="34" spans="1:24" ht="12.75" customHeight="1" x14ac:dyDescent="0.2">
      <c r="A34" s="38">
        <v>24</v>
      </c>
      <c r="B34" s="47" t="s">
        <v>48</v>
      </c>
      <c r="C34" s="41">
        <v>10.1</v>
      </c>
      <c r="D34" s="41">
        <v>18.899999999999999</v>
      </c>
      <c r="E34" s="41">
        <v>12.42</v>
      </c>
      <c r="F34" s="41">
        <f t="shared" si="0"/>
        <v>41.42</v>
      </c>
      <c r="G34" s="41">
        <v>6.41</v>
      </c>
      <c r="H34" s="42">
        <f t="shared" si="1"/>
        <v>339.15343915343919</v>
      </c>
      <c r="I34" s="46">
        <v>617</v>
      </c>
      <c r="J34" s="44">
        <f t="shared" si="2"/>
        <v>6.7131280388978934E-2</v>
      </c>
      <c r="K34" s="3"/>
      <c r="L34" s="3"/>
      <c r="M34" s="39" t="str">
        <f ca="1">IFERROR(__xludf.DUMMYFUNCTION("""COMPUTED_VALUE"""),"Kab. Karanganyar")</f>
        <v>Kab. Karanganyar</v>
      </c>
      <c r="N34" s="45">
        <f ca="1">IFERROR(__xludf.DUMMYFUNCTION("""COMPUTED_VALUE"""),0.78)</f>
        <v>0.78</v>
      </c>
      <c r="O34" s="39" t="str">
        <f ca="1">IFERROR(__xludf.DUMMYFUNCTION("""COMPUTED_VALUE"""),"Kab. Karanganyar")</f>
        <v>Kab. Karanganyar</v>
      </c>
      <c r="P34" s="45">
        <f ca="1">IFERROR(__xludf.DUMMYFUNCTION("""COMPUTED_VALUE"""),0.02)</f>
        <v>0.02</v>
      </c>
      <c r="X34" s="37" t="str">
        <f t="shared" si="3"/>
        <v>Kendal</v>
      </c>
    </row>
    <row r="35" spans="1:24" ht="12.75" customHeight="1" x14ac:dyDescent="0.2">
      <c r="A35" s="38">
        <v>25</v>
      </c>
      <c r="B35" s="47" t="s">
        <v>49</v>
      </c>
      <c r="C35" s="41">
        <v>7</v>
      </c>
      <c r="D35" s="41">
        <v>8.01</v>
      </c>
      <c r="E35" s="41">
        <v>0.67</v>
      </c>
      <c r="F35" s="41">
        <f t="shared" si="0"/>
        <v>15.68</v>
      </c>
      <c r="G35" s="41">
        <v>2.36</v>
      </c>
      <c r="H35" s="42">
        <f t="shared" si="1"/>
        <v>294.63171036204744</v>
      </c>
      <c r="I35" s="46">
        <v>37</v>
      </c>
      <c r="J35" s="44">
        <f t="shared" si="2"/>
        <v>0.42378378378378379</v>
      </c>
      <c r="K35" s="3"/>
      <c r="L35" s="3"/>
      <c r="M35" s="39"/>
      <c r="N35" s="45"/>
      <c r="O35" s="39"/>
      <c r="P35" s="45"/>
      <c r="X35" s="37" t="str">
        <f t="shared" si="3"/>
        <v>Batang</v>
      </c>
    </row>
    <row r="36" spans="1:24" ht="12.75" customHeight="1" x14ac:dyDescent="0.2">
      <c r="A36" s="38">
        <v>26</v>
      </c>
      <c r="B36" s="47" t="s">
        <v>50</v>
      </c>
      <c r="C36" s="41">
        <v>0.16</v>
      </c>
      <c r="D36" s="41">
        <v>6.28</v>
      </c>
      <c r="E36" s="41">
        <v>3.25</v>
      </c>
      <c r="F36" s="41">
        <f t="shared" si="0"/>
        <v>9.6900000000000013</v>
      </c>
      <c r="G36" s="41">
        <v>3.05</v>
      </c>
      <c r="H36" s="42">
        <f t="shared" si="1"/>
        <v>485.66878980891715</v>
      </c>
      <c r="I36" s="46">
        <v>154</v>
      </c>
      <c r="J36" s="44">
        <f t="shared" si="2"/>
        <v>6.2922077922077935E-2</v>
      </c>
      <c r="K36" s="3"/>
      <c r="L36" s="3"/>
      <c r="M36" s="39"/>
      <c r="N36" s="45"/>
      <c r="O36" s="39"/>
      <c r="P36" s="45"/>
      <c r="X36" s="37" t="str">
        <f t="shared" si="3"/>
        <v>Pekalongan</v>
      </c>
    </row>
    <row r="37" spans="1:24" ht="12.75" customHeight="1" x14ac:dyDescent="0.2">
      <c r="A37" s="38">
        <v>27</v>
      </c>
      <c r="B37" s="47" t="s">
        <v>51</v>
      </c>
      <c r="C37" s="41">
        <v>2.6</v>
      </c>
      <c r="D37" s="41">
        <v>9.2799999999999994</v>
      </c>
      <c r="E37" s="41">
        <v>5.3</v>
      </c>
      <c r="F37" s="41">
        <f t="shared" si="0"/>
        <v>17.18</v>
      </c>
      <c r="G37" s="41">
        <v>3.12</v>
      </c>
      <c r="H37" s="42">
        <f t="shared" si="1"/>
        <v>336.20689655172418</v>
      </c>
      <c r="I37" s="46">
        <v>200</v>
      </c>
      <c r="J37" s="44">
        <f t="shared" si="2"/>
        <v>8.5900000000000004E-2</v>
      </c>
      <c r="K37" s="3"/>
      <c r="L37" s="3"/>
      <c r="M37" s="39"/>
      <c r="N37" s="45"/>
      <c r="O37" s="39"/>
      <c r="P37" s="45"/>
      <c r="X37" s="37" t="str">
        <f t="shared" si="3"/>
        <v>Pemalang</v>
      </c>
    </row>
    <row r="38" spans="1:24" ht="12.75" customHeight="1" x14ac:dyDescent="0.2">
      <c r="A38" s="38">
        <v>28</v>
      </c>
      <c r="B38" s="47" t="s">
        <v>52</v>
      </c>
      <c r="C38" s="40">
        <v>1.75</v>
      </c>
      <c r="D38" s="40">
        <v>3.15</v>
      </c>
      <c r="E38" s="40">
        <v>0</v>
      </c>
      <c r="F38" s="41">
        <f t="shared" si="0"/>
        <v>4.9000000000000004</v>
      </c>
      <c r="G38" s="40">
        <v>0.95</v>
      </c>
      <c r="H38" s="42">
        <f t="shared" si="1"/>
        <v>301.58730158730157</v>
      </c>
      <c r="I38" s="43">
        <v>133</v>
      </c>
      <c r="J38" s="44">
        <f t="shared" si="2"/>
        <v>3.6842105263157898E-2</v>
      </c>
      <c r="K38" s="3"/>
      <c r="L38" s="3"/>
      <c r="M38" s="39"/>
      <c r="N38" s="45"/>
      <c r="O38" s="39"/>
      <c r="P38" s="45"/>
      <c r="X38" s="37" t="str">
        <f t="shared" si="3"/>
        <v>Tegal</v>
      </c>
    </row>
    <row r="39" spans="1:24" ht="12.75" customHeight="1" x14ac:dyDescent="0.2">
      <c r="A39" s="38">
        <v>29</v>
      </c>
      <c r="B39" s="47" t="s">
        <v>53</v>
      </c>
      <c r="C39" s="41">
        <v>9.9</v>
      </c>
      <c r="D39" s="41">
        <v>16.350000000000001</v>
      </c>
      <c r="E39" s="41">
        <v>2.5</v>
      </c>
      <c r="F39" s="41">
        <f t="shared" si="0"/>
        <v>28.75</v>
      </c>
      <c r="G39" s="41">
        <v>13.45</v>
      </c>
      <c r="H39" s="42">
        <f t="shared" si="1"/>
        <v>822.62996941896017</v>
      </c>
      <c r="I39" s="46">
        <v>134</v>
      </c>
      <c r="J39" s="44">
        <f t="shared" si="2"/>
        <v>0.21455223880597016</v>
      </c>
      <c r="K39" s="3"/>
      <c r="L39" s="3"/>
      <c r="M39" s="39"/>
      <c r="N39" s="45"/>
      <c r="O39" s="39"/>
      <c r="P39" s="45"/>
      <c r="X39" s="37" t="str">
        <f t="shared" si="3"/>
        <v>Brebes</v>
      </c>
    </row>
    <row r="40" spans="1:24" ht="12.75" customHeight="1" x14ac:dyDescent="0.2">
      <c r="A40" s="38">
        <v>30</v>
      </c>
      <c r="B40" s="47" t="s">
        <v>54</v>
      </c>
      <c r="C40" s="40">
        <v>0</v>
      </c>
      <c r="D40" s="40">
        <v>0</v>
      </c>
      <c r="E40" s="40">
        <v>0</v>
      </c>
      <c r="F40" s="41">
        <f t="shared" si="0"/>
        <v>0</v>
      </c>
      <c r="G40" s="40">
        <v>0</v>
      </c>
      <c r="H40" s="42">
        <f t="shared" si="1"/>
        <v>0</v>
      </c>
      <c r="I40" s="40">
        <v>0</v>
      </c>
      <c r="J40" s="44">
        <f t="shared" si="2"/>
        <v>0</v>
      </c>
      <c r="K40" s="3"/>
      <c r="L40" s="3"/>
      <c r="M40" s="39"/>
      <c r="N40" s="45"/>
      <c r="O40" s="39"/>
      <c r="P40" s="45"/>
      <c r="X40" s="37" t="str">
        <f t="shared" si="3"/>
        <v>Kota Surakarta</v>
      </c>
    </row>
    <row r="41" spans="1:24" ht="12.75" customHeight="1" x14ac:dyDescent="0.2">
      <c r="A41" s="38">
        <v>31</v>
      </c>
      <c r="B41" s="47" t="s">
        <v>55</v>
      </c>
      <c r="C41" s="41">
        <v>0</v>
      </c>
      <c r="D41" s="41">
        <v>0</v>
      </c>
      <c r="E41" s="41">
        <v>0</v>
      </c>
      <c r="F41" s="41">
        <f t="shared" si="0"/>
        <v>0</v>
      </c>
      <c r="G41" s="41">
        <v>0</v>
      </c>
      <c r="H41" s="42">
        <f t="shared" si="1"/>
        <v>0</v>
      </c>
      <c r="I41" s="46">
        <v>0</v>
      </c>
      <c r="J41" s="44">
        <f t="shared" si="2"/>
        <v>0</v>
      </c>
      <c r="K41" s="3"/>
      <c r="L41" s="3"/>
      <c r="M41" s="39"/>
      <c r="N41" s="45"/>
      <c r="O41" s="39"/>
      <c r="P41" s="45"/>
      <c r="X41" s="37" t="str">
        <f t="shared" si="3"/>
        <v>Kota Salatiga</v>
      </c>
    </row>
    <row r="42" spans="1:24" ht="12.75" customHeight="1" x14ac:dyDescent="0.2">
      <c r="A42" s="48">
        <v>32</v>
      </c>
      <c r="B42" s="49" t="s">
        <v>56</v>
      </c>
      <c r="C42" s="40">
        <v>0</v>
      </c>
      <c r="D42" s="40">
        <v>0</v>
      </c>
      <c r="E42" s="40">
        <v>0</v>
      </c>
      <c r="F42" s="41">
        <f t="shared" si="0"/>
        <v>0</v>
      </c>
      <c r="G42" s="40">
        <v>0</v>
      </c>
      <c r="H42" s="42">
        <f t="shared" si="1"/>
        <v>0</v>
      </c>
      <c r="I42" s="40">
        <v>0</v>
      </c>
      <c r="J42" s="44">
        <f t="shared" si="2"/>
        <v>0</v>
      </c>
      <c r="K42" s="3"/>
      <c r="L42" s="3"/>
      <c r="M42" s="50"/>
      <c r="N42" s="45"/>
      <c r="O42" s="50"/>
      <c r="P42" s="45"/>
      <c r="X42" s="37" t="str">
        <f t="shared" si="3"/>
        <v>Kota Semarang</v>
      </c>
    </row>
    <row r="43" spans="1:24" ht="12.75" customHeight="1" x14ac:dyDescent="0.2">
      <c r="A43" s="51" t="s">
        <v>57</v>
      </c>
      <c r="B43" s="52"/>
      <c r="C43" s="53">
        <f t="shared" ref="C43:E43" si="4">SUM(C$11:C$42)</f>
        <v>850.05</v>
      </c>
      <c r="D43" s="53">
        <f t="shared" si="4"/>
        <v>1143.0300000000002</v>
      </c>
      <c r="E43" s="53">
        <f t="shared" si="4"/>
        <v>220.29999999999998</v>
      </c>
      <c r="F43" s="53">
        <f>C43+D43+E43</f>
        <v>2213.38</v>
      </c>
      <c r="G43" s="53">
        <f>SUM(G$11:G$42)</f>
        <v>551.13000000000011</v>
      </c>
      <c r="H43" s="54">
        <f>G43*1000/D43</f>
        <v>482.16582241935907</v>
      </c>
      <c r="I43" s="55">
        <f>SUM(I$11:I$42)</f>
        <v>13010</v>
      </c>
      <c r="J43" s="56">
        <f t="shared" si="2"/>
        <v>0.17012913143735589</v>
      </c>
      <c r="K43" s="3"/>
      <c r="L43" s="3"/>
      <c r="M43" s="57"/>
      <c r="N43" s="45"/>
      <c r="O43" s="57"/>
      <c r="P43" s="45"/>
    </row>
    <row r="44" spans="1:24" ht="12.75" customHeight="1" x14ac:dyDescent="0.2">
      <c r="A44" s="58" t="s">
        <v>58</v>
      </c>
      <c r="B44" s="52"/>
      <c r="C44" s="53">
        <v>820.45999999999992</v>
      </c>
      <c r="D44" s="53">
        <v>1161.9600000000005</v>
      </c>
      <c r="E44" s="53">
        <v>228.32999999999996</v>
      </c>
      <c r="F44" s="53">
        <v>2210.7500000000005</v>
      </c>
      <c r="G44" s="53">
        <v>646.89</v>
      </c>
      <c r="H44" s="54">
        <v>556.72312299907026</v>
      </c>
      <c r="I44" s="55">
        <v>12914</v>
      </c>
      <c r="J44" s="56">
        <v>0.17119018119869911</v>
      </c>
      <c r="K44" s="3"/>
      <c r="L44" s="3"/>
      <c r="M44" s="57"/>
      <c r="N44" s="45"/>
      <c r="O44" s="57"/>
      <c r="P44" s="45"/>
    </row>
    <row r="45" spans="1:24" ht="12.75" customHeight="1" x14ac:dyDescent="0.2">
      <c r="A45" s="58" t="s">
        <v>59</v>
      </c>
      <c r="B45" s="52"/>
      <c r="C45" s="53">
        <v>783.07999999999981</v>
      </c>
      <c r="D45" s="53">
        <v>1180.8200000000002</v>
      </c>
      <c r="E45" s="53">
        <v>216.51999999999998</v>
      </c>
      <c r="F45" s="53">
        <v>2180.42</v>
      </c>
      <c r="G45" s="53">
        <v>643.06999999999994</v>
      </c>
      <c r="H45" s="54">
        <v>544.59612811436102</v>
      </c>
      <c r="I45" s="55">
        <v>13404</v>
      </c>
      <c r="J45" s="56">
        <v>0.16266935243210984</v>
      </c>
      <c r="K45" s="3"/>
      <c r="L45" s="3"/>
      <c r="M45" s="57"/>
      <c r="N45" s="45"/>
      <c r="O45" s="57"/>
      <c r="P45" s="45"/>
    </row>
    <row r="46" spans="1:24" ht="12.75" customHeight="1" x14ac:dyDescent="0.2">
      <c r="A46" s="58" t="s">
        <v>60</v>
      </c>
      <c r="B46" s="52"/>
      <c r="C46" s="53">
        <v>778.62999999999977</v>
      </c>
      <c r="D46" s="53">
        <v>1138.7223999999997</v>
      </c>
      <c r="E46" s="53">
        <v>206.85</v>
      </c>
      <c r="F46" s="53">
        <v>2124.2023999999992</v>
      </c>
      <c r="G46" s="53">
        <v>638.33211380000012</v>
      </c>
      <c r="H46" s="54">
        <v>560.56868100601196</v>
      </c>
      <c r="I46" s="55">
        <v>13272.702380952382</v>
      </c>
      <c r="J46" s="56">
        <v>0.16004294672111657</v>
      </c>
      <c r="K46" s="3"/>
      <c r="L46" s="3"/>
      <c r="M46" s="57"/>
      <c r="N46" s="45"/>
      <c r="O46" s="57"/>
      <c r="P46" s="45"/>
    </row>
    <row r="47" spans="1:24" ht="12.75" customHeight="1" x14ac:dyDescent="0.2">
      <c r="A47" s="58" t="s">
        <v>61</v>
      </c>
      <c r="B47" s="52"/>
      <c r="C47" s="53">
        <v>759.72479999999996</v>
      </c>
      <c r="D47" s="53">
        <v>1350.8476000000003</v>
      </c>
      <c r="E47" s="53">
        <v>225.89000000000004</v>
      </c>
      <c r="F47" s="53">
        <v>2336.4623999999999</v>
      </c>
      <c r="G47" s="53">
        <v>663.1684193000001</v>
      </c>
      <c r="H47" s="54">
        <v>490.9276363225577</v>
      </c>
      <c r="I47" s="55">
        <v>13294</v>
      </c>
      <c r="J47" s="56">
        <v>0.17575315179780351</v>
      </c>
      <c r="K47" s="3"/>
      <c r="L47" s="3"/>
      <c r="M47" s="57"/>
      <c r="N47" s="45"/>
      <c r="O47" s="57"/>
      <c r="P47" s="45"/>
    </row>
    <row r="48" spans="1:24" ht="12.75" customHeight="1" x14ac:dyDescent="0.2">
      <c r="A48" s="58" t="s">
        <v>62</v>
      </c>
      <c r="B48" s="52"/>
      <c r="C48" s="53">
        <v>875.0748000000001</v>
      </c>
      <c r="D48" s="53">
        <v>1317.5426</v>
      </c>
      <c r="E48" s="53">
        <v>257.03999999999996</v>
      </c>
      <c r="F48" s="53">
        <v>2449.6574000000001</v>
      </c>
      <c r="G48" s="53">
        <v>662.26482603333318</v>
      </c>
      <c r="H48" s="54">
        <v>502.6515469278437</v>
      </c>
      <c r="I48" s="55">
        <v>13098</v>
      </c>
      <c r="J48" s="56">
        <v>0.18702530157275921</v>
      </c>
      <c r="K48" s="3"/>
      <c r="L48" s="3"/>
      <c r="M48" s="57"/>
      <c r="N48" s="45"/>
      <c r="O48" s="57"/>
      <c r="P48" s="45"/>
    </row>
    <row r="49" spans="1:12" ht="12.75" hidden="1" customHeight="1" x14ac:dyDescent="0.2">
      <c r="A49" s="58" t="s">
        <v>63</v>
      </c>
      <c r="B49" s="52"/>
      <c r="C49" s="53">
        <v>763.38</v>
      </c>
      <c r="D49" s="53">
        <v>964.79000000000008</v>
      </c>
      <c r="E49" s="53">
        <v>250.67999999999998</v>
      </c>
      <c r="F49" s="53">
        <f t="shared" ref="F49:F57" si="5">C49+D49+E49</f>
        <v>1978.8500000000001</v>
      </c>
      <c r="G49" s="53">
        <v>522.70508000000007</v>
      </c>
      <c r="H49" s="54">
        <v>541.78119590791778</v>
      </c>
      <c r="I49" s="55">
        <v>11876</v>
      </c>
      <c r="J49" s="56">
        <f t="shared" ref="J49:J57" si="6">IF(I49=0,0,F49/I49)</f>
        <v>0.16662596833950827</v>
      </c>
      <c r="K49" s="3"/>
      <c r="L49" s="3"/>
    </row>
    <row r="50" spans="1:12" ht="12.75" hidden="1" customHeight="1" x14ac:dyDescent="0.2">
      <c r="A50" s="58" t="s">
        <v>64</v>
      </c>
      <c r="B50" s="52"/>
      <c r="C50" s="53">
        <v>693.95999999999992</v>
      </c>
      <c r="D50" s="53">
        <v>1043.08</v>
      </c>
      <c r="E50" s="53">
        <v>223.52999999999997</v>
      </c>
      <c r="F50" s="53">
        <f t="shared" si="5"/>
        <v>1960.57</v>
      </c>
      <c r="G50" s="53">
        <v>551.07999999999993</v>
      </c>
      <c r="H50" s="54">
        <v>528.31997545729951</v>
      </c>
      <c r="I50" s="55">
        <v>11491</v>
      </c>
      <c r="J50" s="56">
        <f t="shared" si="6"/>
        <v>0.17061787485858498</v>
      </c>
      <c r="K50" s="3"/>
      <c r="L50" s="3"/>
    </row>
    <row r="51" spans="1:12" ht="12.75" hidden="1" customHeight="1" x14ac:dyDescent="0.2">
      <c r="A51" s="58" t="s">
        <v>65</v>
      </c>
      <c r="B51" s="52"/>
      <c r="C51" s="53">
        <v>715.00000000000011</v>
      </c>
      <c r="D51" s="53">
        <v>998.4100000000002</v>
      </c>
      <c r="E51" s="53">
        <v>227.32000000000002</v>
      </c>
      <c r="F51" s="53">
        <f t="shared" si="5"/>
        <v>1940.7300000000002</v>
      </c>
      <c r="G51" s="53">
        <v>502.21000000000004</v>
      </c>
      <c r="H51" s="54">
        <v>503.00978555903885</v>
      </c>
      <c r="I51" s="55">
        <v>12802</v>
      </c>
      <c r="J51" s="56">
        <f t="shared" si="6"/>
        <v>0.15159584439931262</v>
      </c>
      <c r="K51" s="3"/>
      <c r="L51" s="3"/>
    </row>
    <row r="52" spans="1:12" ht="12.75" hidden="1" customHeight="1" x14ac:dyDescent="0.2">
      <c r="A52" s="58" t="s">
        <v>66</v>
      </c>
      <c r="B52" s="52"/>
      <c r="C52" s="53">
        <v>393.38999999999993</v>
      </c>
      <c r="D52" s="53">
        <v>970.66</v>
      </c>
      <c r="E52" s="53">
        <v>239.89000000000001</v>
      </c>
      <c r="F52" s="53">
        <f t="shared" si="5"/>
        <v>1603.94</v>
      </c>
      <c r="G52" s="53">
        <v>498.61000000000007</v>
      </c>
      <c r="H52" s="54">
        <v>513.68141264706503</v>
      </c>
      <c r="I52" s="55">
        <v>10892</v>
      </c>
      <c r="J52" s="56">
        <f t="shared" si="6"/>
        <v>0.14725853837679032</v>
      </c>
      <c r="K52" s="3"/>
      <c r="L52" s="3"/>
    </row>
    <row r="53" spans="1:12" ht="12.75" hidden="1" customHeight="1" x14ac:dyDescent="0.2">
      <c r="A53" s="58" t="s">
        <v>67</v>
      </c>
      <c r="B53" s="52"/>
      <c r="C53" s="53">
        <v>454.79</v>
      </c>
      <c r="D53" s="53">
        <v>1000.1</v>
      </c>
      <c r="E53" s="53">
        <v>170.59</v>
      </c>
      <c r="F53" s="53">
        <f t="shared" si="5"/>
        <v>1625.48</v>
      </c>
      <c r="G53" s="53">
        <v>941.69</v>
      </c>
      <c r="H53" s="54">
        <v>942</v>
      </c>
      <c r="I53" s="55">
        <v>11215</v>
      </c>
      <c r="J53" s="56">
        <f t="shared" si="6"/>
        <v>0.14493802942487741</v>
      </c>
      <c r="K53" s="3"/>
      <c r="L53" s="3"/>
    </row>
    <row r="54" spans="1:12" ht="12.75" hidden="1" customHeight="1" x14ac:dyDescent="0.2">
      <c r="A54" s="58" t="s">
        <v>68</v>
      </c>
      <c r="B54" s="52"/>
      <c r="C54" s="53">
        <v>392.04</v>
      </c>
      <c r="D54" s="53">
        <v>972.41</v>
      </c>
      <c r="E54" s="53">
        <v>184.59</v>
      </c>
      <c r="F54" s="53">
        <f t="shared" si="5"/>
        <v>1549.04</v>
      </c>
      <c r="G54" s="59">
        <v>1522.24</v>
      </c>
      <c r="H54" s="54">
        <v>1565.4302197632685</v>
      </c>
      <c r="I54" s="55">
        <v>12118</v>
      </c>
      <c r="J54" s="56">
        <f t="shared" si="6"/>
        <v>0.12782967486383892</v>
      </c>
      <c r="K54" s="3"/>
      <c r="L54" s="3"/>
    </row>
    <row r="55" spans="1:12" ht="12.75" hidden="1" customHeight="1" x14ac:dyDescent="0.2">
      <c r="A55" s="58" t="s">
        <v>69</v>
      </c>
      <c r="B55" s="52"/>
      <c r="C55" s="53">
        <v>416.36</v>
      </c>
      <c r="D55" s="53">
        <v>991.27000000000021</v>
      </c>
      <c r="E55" s="53">
        <v>170.85999999999996</v>
      </c>
      <c r="F55" s="53">
        <f t="shared" si="5"/>
        <v>1578.49</v>
      </c>
      <c r="G55" s="59">
        <v>982.99800000000005</v>
      </c>
      <c r="H55" s="55">
        <v>991.65514945473979</v>
      </c>
      <c r="I55" s="55">
        <v>11882</v>
      </c>
      <c r="J55" s="56">
        <f t="shared" si="6"/>
        <v>0.1328471637771419</v>
      </c>
      <c r="K55" s="3"/>
      <c r="L55" s="3"/>
    </row>
    <row r="56" spans="1:12" ht="12.75" hidden="1" customHeight="1" x14ac:dyDescent="0.2">
      <c r="A56" s="60" t="s">
        <v>70</v>
      </c>
      <c r="B56" s="52"/>
      <c r="C56" s="53">
        <v>454.77</v>
      </c>
      <c r="D56" s="53">
        <v>1058.3</v>
      </c>
      <c r="E56" s="53">
        <v>64.14</v>
      </c>
      <c r="F56" s="53">
        <f t="shared" si="5"/>
        <v>1577.21</v>
      </c>
      <c r="G56" s="59">
        <v>966.39</v>
      </c>
      <c r="H56" s="55">
        <v>913</v>
      </c>
      <c r="I56" s="55">
        <v>11831</v>
      </c>
      <c r="J56" s="56">
        <f t="shared" si="6"/>
        <v>0.13331163891471559</v>
      </c>
      <c r="K56" s="3"/>
      <c r="L56" s="3"/>
    </row>
    <row r="57" spans="1:12" ht="12.75" hidden="1" customHeight="1" x14ac:dyDescent="0.2">
      <c r="A57" s="60" t="s">
        <v>71</v>
      </c>
      <c r="B57" s="52"/>
      <c r="C57" s="53">
        <v>460.29</v>
      </c>
      <c r="D57" s="53">
        <v>1032.27</v>
      </c>
      <c r="E57" s="53">
        <v>89.02</v>
      </c>
      <c r="F57" s="53">
        <f t="shared" si="5"/>
        <v>1581.58</v>
      </c>
      <c r="G57" s="59">
        <v>956.08</v>
      </c>
      <c r="H57" s="55">
        <v>895</v>
      </c>
      <c r="I57" s="55">
        <v>12310</v>
      </c>
      <c r="J57" s="56">
        <f t="shared" si="6"/>
        <v>0.12847928513403736</v>
      </c>
      <c r="K57" s="3"/>
      <c r="L57" s="3"/>
    </row>
    <row r="58" spans="1:12" ht="12.75" customHeight="1" x14ac:dyDescent="0.2">
      <c r="A58" s="61"/>
      <c r="B58" s="62" t="s">
        <v>72</v>
      </c>
      <c r="C58" s="63"/>
      <c r="D58" s="63"/>
      <c r="E58" s="63"/>
      <c r="F58" s="63"/>
      <c r="G58" s="64"/>
      <c r="H58" s="63"/>
      <c r="I58" s="61"/>
      <c r="J58" s="62"/>
      <c r="K58" s="3"/>
      <c r="L58" s="3"/>
    </row>
    <row r="59" spans="1:12" ht="12.75" customHeight="1" x14ac:dyDescent="0.2">
      <c r="K59" s="3"/>
      <c r="L59" s="3"/>
    </row>
    <row r="60" spans="1:12" ht="12.75" customHeight="1" x14ac:dyDescent="0.2">
      <c r="K60" s="3"/>
      <c r="L60" s="3"/>
    </row>
    <row r="61" spans="1:12" ht="12.75" customHeight="1" x14ac:dyDescent="0.2">
      <c r="K61" s="3"/>
      <c r="L61" s="3"/>
    </row>
    <row r="62" spans="1:12" ht="12.75" customHeight="1" x14ac:dyDescent="0.2">
      <c r="B62" s="65" t="s">
        <v>73</v>
      </c>
      <c r="C62" s="65" t="s">
        <v>74</v>
      </c>
      <c r="K62" s="3"/>
      <c r="L62" s="3"/>
    </row>
    <row r="63" spans="1:12" ht="12.75" customHeight="1" x14ac:dyDescent="0.2">
      <c r="B63" s="65" t="str">
        <f ca="1">RIGHT(INDIRECT("A43"),4)</f>
        <v>2023</v>
      </c>
      <c r="C63" s="66">
        <f ca="1">INDIRECT("g43")</f>
        <v>551.13000000000011</v>
      </c>
      <c r="K63" s="3"/>
      <c r="L63" s="3"/>
    </row>
    <row r="64" spans="1:12" ht="12.75" customHeight="1" x14ac:dyDescent="0.2">
      <c r="B64" s="65" t="str">
        <f ca="1">RIGHT(INDIRECT("A44"),4)</f>
        <v>2022</v>
      </c>
      <c r="C64" s="66">
        <f ca="1">INDIRECT("g44")</f>
        <v>646.89</v>
      </c>
      <c r="K64" s="3"/>
      <c r="L64" s="3"/>
    </row>
    <row r="65" spans="2:12" ht="12.75" customHeight="1" x14ac:dyDescent="0.2">
      <c r="B65" s="65" t="str">
        <f ca="1">RIGHT(INDIRECT("A45"),4)</f>
        <v>2021</v>
      </c>
      <c r="C65" s="66">
        <f ca="1">INDIRECT("g45")</f>
        <v>643.06999999999994</v>
      </c>
      <c r="K65" s="3"/>
      <c r="L65" s="3"/>
    </row>
    <row r="66" spans="2:12" ht="12.75" customHeight="1" x14ac:dyDescent="0.2">
      <c r="B66" s="65" t="str">
        <f ca="1">RIGHT(INDIRECT("A46"),4)</f>
        <v>2020</v>
      </c>
      <c r="C66" s="66">
        <f ca="1">INDIRECT("g46")</f>
        <v>638.33211380000012</v>
      </c>
      <c r="K66" s="3"/>
      <c r="L66" s="3"/>
    </row>
    <row r="67" spans="2:12" ht="12.75" customHeight="1" x14ac:dyDescent="0.2">
      <c r="B67" s="65" t="str">
        <f ca="1">RIGHT(INDIRECT("A47"),4)</f>
        <v>2019</v>
      </c>
      <c r="C67" s="66">
        <f ca="1">INDIRECT("g47")</f>
        <v>663.1684193000001</v>
      </c>
      <c r="K67" s="3"/>
      <c r="L67" s="3"/>
    </row>
    <row r="68" spans="2:12" ht="12.75" customHeight="1" x14ac:dyDescent="0.2">
      <c r="B68" s="65" t="str">
        <f ca="1">RIGHT(INDIRECT("A48"),4)</f>
        <v>2018</v>
      </c>
      <c r="C68" s="66">
        <f ca="1">INDIRECT("g48")</f>
        <v>662.26482603333318</v>
      </c>
      <c r="K68" s="3"/>
      <c r="L68" s="3"/>
    </row>
    <row r="69" spans="2:12" ht="12.75" customHeight="1" x14ac:dyDescent="0.2">
      <c r="B69" s="65" t="str">
        <f ca="1">RIGHT(INDIRECT("A49"),4)</f>
        <v>2017</v>
      </c>
      <c r="C69" s="66">
        <f ca="1">INDIRECT("g49")</f>
        <v>522.70508000000007</v>
      </c>
      <c r="K69" s="3"/>
      <c r="L69" s="3"/>
    </row>
    <row r="70" spans="2:12" ht="12.75" customHeight="1" x14ac:dyDescent="0.2">
      <c r="B70" s="65" t="str">
        <f ca="1">RIGHT(INDIRECT("A50"),4)</f>
        <v>2016</v>
      </c>
      <c r="C70" s="66">
        <f ca="1">INDIRECT("g50")</f>
        <v>551.07999999999993</v>
      </c>
      <c r="K70" s="3"/>
      <c r="L70" s="3"/>
    </row>
    <row r="71" spans="2:12" ht="12.75" customHeight="1" x14ac:dyDescent="0.2">
      <c r="B71" s="65" t="str">
        <f ca="1">RIGHT(INDIRECT("A51"),4)</f>
        <v>2015</v>
      </c>
      <c r="C71" s="66">
        <f ca="1">INDIRECT("g51")</f>
        <v>502.21000000000004</v>
      </c>
      <c r="K71" s="3"/>
      <c r="L71" s="3"/>
    </row>
    <row r="72" spans="2:12" ht="12.75" customHeight="1" x14ac:dyDescent="0.2">
      <c r="B72" s="65" t="str">
        <f ca="1">RIGHT(INDIRECT("A52"),4)</f>
        <v>2014</v>
      </c>
      <c r="C72" s="66">
        <f ca="1">INDIRECT("g52")</f>
        <v>498.61000000000007</v>
      </c>
      <c r="K72" s="3"/>
      <c r="L72" s="3"/>
    </row>
    <row r="73" spans="2:12" ht="12.75" customHeight="1" x14ac:dyDescent="0.2">
      <c r="B73" s="65" t="str">
        <f ca="1">RIGHT(INDIRECT("A53"),4)</f>
        <v>2013</v>
      </c>
      <c r="C73" s="66">
        <f ca="1">INDIRECT("g53")</f>
        <v>941.69</v>
      </c>
      <c r="K73" s="3"/>
      <c r="L73" s="3"/>
    </row>
    <row r="74" spans="2:12" ht="12.75" customHeight="1" x14ac:dyDescent="0.2">
      <c r="B74" s="65" t="str">
        <f ca="1">RIGHT(INDIRECT("A54"),4)</f>
        <v>2012</v>
      </c>
      <c r="C74" s="66">
        <f ca="1">INDIRECT("g54")</f>
        <v>1522.24</v>
      </c>
      <c r="K74" s="3"/>
      <c r="L74" s="3"/>
    </row>
    <row r="75" spans="2:12" ht="12.75" customHeight="1" x14ac:dyDescent="0.2">
      <c r="B75" s="67" t="str">
        <f ca="1">RIGHT(INDIRECT("A55"),4)</f>
        <v>2011</v>
      </c>
      <c r="C75" s="66">
        <f ca="1">INDIRECT("g55")</f>
        <v>982.99800000000005</v>
      </c>
      <c r="K75" s="3"/>
      <c r="L75" s="3"/>
    </row>
    <row r="76" spans="2:12" ht="12.75" customHeight="1" x14ac:dyDescent="0.2">
      <c r="K76" s="3"/>
      <c r="L76" s="3"/>
    </row>
    <row r="77" spans="2:12" ht="12.75" customHeight="1" x14ac:dyDescent="0.2">
      <c r="K77" s="3"/>
      <c r="L77" s="3"/>
    </row>
    <row r="78" spans="2:12" ht="12.75" customHeight="1" x14ac:dyDescent="0.2">
      <c r="K78" s="3"/>
      <c r="L78" s="3"/>
    </row>
    <row r="79" spans="2:12" ht="12.75" customHeight="1" x14ac:dyDescent="0.2">
      <c r="K79" s="3"/>
      <c r="L79" s="3"/>
    </row>
    <row r="80" spans="2:12" ht="12.75" customHeight="1" x14ac:dyDescent="0.2">
      <c r="K80" s="3"/>
      <c r="L80" s="3"/>
    </row>
    <row r="81" spans="11:12" ht="12.75" customHeight="1" x14ac:dyDescent="0.2">
      <c r="K81" s="3"/>
      <c r="L81" s="3"/>
    </row>
    <row r="82" spans="11:12" ht="12.75" customHeight="1" x14ac:dyDescent="0.2">
      <c r="K82" s="3"/>
      <c r="L82" s="3"/>
    </row>
    <row r="83" spans="11:12" ht="12.75" customHeight="1" x14ac:dyDescent="0.2">
      <c r="K83" s="3"/>
      <c r="L83" s="3"/>
    </row>
    <row r="84" spans="11:12" ht="12.75" customHeight="1" x14ac:dyDescent="0.2">
      <c r="K84" s="3"/>
      <c r="L84" s="3"/>
    </row>
    <row r="85" spans="11:12" ht="12.75" customHeight="1" x14ac:dyDescent="0.2">
      <c r="K85" s="3"/>
      <c r="L85" s="3"/>
    </row>
    <row r="86" spans="11:12" ht="12.75" customHeight="1" x14ac:dyDescent="0.2">
      <c r="K86" s="3"/>
      <c r="L86" s="3"/>
    </row>
    <row r="87" spans="11:12" ht="12.75" customHeight="1" x14ac:dyDescent="0.2">
      <c r="K87" s="3"/>
      <c r="L87" s="3"/>
    </row>
    <row r="88" spans="11:12" ht="12.75" customHeight="1" x14ac:dyDescent="0.2">
      <c r="K88" s="3"/>
      <c r="L88" s="3"/>
    </row>
    <row r="89" spans="11:12" ht="12.75" customHeight="1" x14ac:dyDescent="0.2">
      <c r="K89" s="3"/>
      <c r="L89" s="3"/>
    </row>
    <row r="90" spans="11:12" ht="12.75" customHeight="1" x14ac:dyDescent="0.2">
      <c r="K90" s="3"/>
      <c r="L90" s="3"/>
    </row>
    <row r="91" spans="11:12" ht="12.75" customHeight="1" x14ac:dyDescent="0.2">
      <c r="K91" s="3"/>
      <c r="L91" s="3"/>
    </row>
    <row r="92" spans="11:12" ht="12.75" customHeight="1" x14ac:dyDescent="0.2">
      <c r="K92" s="3"/>
      <c r="L92" s="3"/>
    </row>
    <row r="93" spans="11:12" ht="12.75" customHeight="1" x14ac:dyDescent="0.2">
      <c r="K93" s="3"/>
      <c r="L93" s="3"/>
    </row>
    <row r="94" spans="11:12" ht="12.75" customHeight="1" x14ac:dyDescent="0.2">
      <c r="K94" s="3"/>
      <c r="L94" s="3"/>
    </row>
    <row r="95" spans="11:12" ht="12.75" customHeight="1" x14ac:dyDescent="0.2">
      <c r="K95" s="3"/>
      <c r="L95" s="3"/>
    </row>
    <row r="96" spans="11:12" ht="12.75" customHeight="1" x14ac:dyDescent="0.2">
      <c r="K96" s="3"/>
      <c r="L96" s="3"/>
    </row>
    <row r="97" spans="11:12" ht="12.75" customHeight="1" x14ac:dyDescent="0.2">
      <c r="K97" s="3"/>
      <c r="L97" s="3"/>
    </row>
    <row r="98" spans="11:12" ht="12.75" customHeight="1" x14ac:dyDescent="0.2">
      <c r="K98" s="3"/>
      <c r="L98" s="3"/>
    </row>
    <row r="99" spans="11:12" ht="12.75" customHeight="1" x14ac:dyDescent="0.2">
      <c r="K99" s="3"/>
      <c r="L99" s="3"/>
    </row>
    <row r="100" spans="11:12" ht="12.75" customHeight="1" x14ac:dyDescent="0.2">
      <c r="K100" s="3"/>
      <c r="L100" s="3"/>
    </row>
    <row r="101" spans="11:12" ht="12.75" customHeight="1" x14ac:dyDescent="0.2">
      <c r="K101" s="3"/>
      <c r="L101" s="3"/>
    </row>
    <row r="102" spans="11:12" ht="12.75" customHeight="1" x14ac:dyDescent="0.2">
      <c r="K102" s="3"/>
      <c r="L102" s="3"/>
    </row>
    <row r="103" spans="11:12" ht="12.75" customHeight="1" x14ac:dyDescent="0.2">
      <c r="K103" s="3"/>
      <c r="L103" s="3"/>
    </row>
    <row r="104" spans="11:12" ht="12.75" customHeight="1" x14ac:dyDescent="0.2">
      <c r="K104" s="3"/>
      <c r="L104" s="3"/>
    </row>
    <row r="105" spans="11:12" ht="12.75" customHeight="1" x14ac:dyDescent="0.2">
      <c r="K105" s="3"/>
      <c r="L105" s="3"/>
    </row>
    <row r="106" spans="11:12" ht="12.75" customHeight="1" x14ac:dyDescent="0.2">
      <c r="K106" s="3"/>
      <c r="L106" s="3"/>
    </row>
    <row r="107" spans="11:12" ht="12.75" customHeight="1" x14ac:dyDescent="0.2">
      <c r="K107" s="3"/>
      <c r="L107" s="3"/>
    </row>
    <row r="108" spans="11:12" ht="12.75" customHeight="1" x14ac:dyDescent="0.2">
      <c r="K108" s="3"/>
      <c r="L108" s="3"/>
    </row>
    <row r="109" spans="11:12" ht="12.75" customHeight="1" x14ac:dyDescent="0.2">
      <c r="K109" s="3"/>
      <c r="L109" s="3"/>
    </row>
    <row r="110" spans="11:12" ht="12.75" customHeight="1" x14ac:dyDescent="0.2">
      <c r="K110" s="3"/>
      <c r="L110" s="3"/>
    </row>
    <row r="111" spans="11:12" ht="12.75" customHeight="1" x14ac:dyDescent="0.2">
      <c r="K111" s="3"/>
      <c r="L111" s="3"/>
    </row>
    <row r="112" spans="11:12" ht="12.75" customHeight="1" x14ac:dyDescent="0.2">
      <c r="K112" s="3"/>
      <c r="L112" s="3"/>
    </row>
    <row r="113" spans="11:12" ht="12.75" customHeight="1" x14ac:dyDescent="0.2">
      <c r="K113" s="3"/>
      <c r="L113" s="3"/>
    </row>
    <row r="114" spans="11:12" ht="12.75" customHeight="1" x14ac:dyDescent="0.2">
      <c r="K114" s="3"/>
      <c r="L114" s="3"/>
    </row>
    <row r="115" spans="11:12" ht="12.75" customHeight="1" x14ac:dyDescent="0.2">
      <c r="K115" s="3"/>
      <c r="L115" s="3"/>
    </row>
    <row r="116" spans="11:12" ht="12.75" customHeight="1" x14ac:dyDescent="0.2">
      <c r="K116" s="3"/>
      <c r="L116" s="3"/>
    </row>
    <row r="117" spans="11:12" ht="12.75" customHeight="1" x14ac:dyDescent="0.2">
      <c r="K117" s="3"/>
      <c r="L117" s="3"/>
    </row>
    <row r="118" spans="11:12" ht="12.75" customHeight="1" x14ac:dyDescent="0.2">
      <c r="K118" s="3"/>
      <c r="L118" s="3"/>
    </row>
    <row r="119" spans="11:12" ht="12.75" customHeight="1" x14ac:dyDescent="0.2">
      <c r="K119" s="3"/>
      <c r="L119" s="3"/>
    </row>
    <row r="120" spans="11:12" ht="12.75" customHeight="1" x14ac:dyDescent="0.2">
      <c r="K120" s="3"/>
      <c r="L120" s="3"/>
    </row>
    <row r="121" spans="11:12" ht="12.75" customHeight="1" x14ac:dyDescent="0.2">
      <c r="K121" s="3"/>
      <c r="L121" s="3"/>
    </row>
    <row r="122" spans="11:12" ht="12.75" customHeight="1" x14ac:dyDescent="0.2">
      <c r="K122" s="3"/>
      <c r="L122" s="3"/>
    </row>
    <row r="123" spans="11:12" ht="12.75" customHeight="1" x14ac:dyDescent="0.2">
      <c r="K123" s="3"/>
      <c r="L123" s="3"/>
    </row>
    <row r="124" spans="11:12" ht="12.75" customHeight="1" x14ac:dyDescent="0.2">
      <c r="K124" s="3"/>
      <c r="L124" s="3"/>
    </row>
    <row r="125" spans="11:12" ht="12.75" customHeight="1" x14ac:dyDescent="0.2">
      <c r="K125" s="3"/>
      <c r="L125" s="3"/>
    </row>
    <row r="126" spans="11:12" ht="12.75" customHeight="1" x14ac:dyDescent="0.2">
      <c r="K126" s="3"/>
      <c r="L126" s="3"/>
    </row>
    <row r="127" spans="11:12" ht="12.75" customHeight="1" x14ac:dyDescent="0.2">
      <c r="K127" s="3"/>
      <c r="L127" s="3"/>
    </row>
    <row r="128" spans="11:12" ht="12.75" customHeight="1" x14ac:dyDescent="0.2">
      <c r="K128" s="3"/>
      <c r="L128" s="3"/>
    </row>
    <row r="129" spans="11:12" ht="12.75" customHeight="1" x14ac:dyDescent="0.2">
      <c r="K129" s="3"/>
      <c r="L129" s="3"/>
    </row>
    <row r="130" spans="11:12" ht="12.75" customHeight="1" x14ac:dyDescent="0.2">
      <c r="K130" s="3"/>
      <c r="L130" s="3"/>
    </row>
    <row r="131" spans="11:12" ht="12.75" customHeight="1" x14ac:dyDescent="0.2">
      <c r="K131" s="3"/>
      <c r="L131" s="3"/>
    </row>
    <row r="132" spans="11:12" ht="12.75" customHeight="1" x14ac:dyDescent="0.2">
      <c r="K132" s="3"/>
      <c r="L132" s="3"/>
    </row>
    <row r="133" spans="11:12" ht="12.75" customHeight="1" x14ac:dyDescent="0.2">
      <c r="K133" s="3"/>
      <c r="L133" s="3"/>
    </row>
    <row r="134" spans="11:12" ht="12.75" customHeight="1" x14ac:dyDescent="0.2">
      <c r="K134" s="3"/>
      <c r="L134" s="3"/>
    </row>
    <row r="135" spans="11:12" ht="12.75" customHeight="1" x14ac:dyDescent="0.2">
      <c r="K135" s="3"/>
      <c r="L135" s="3"/>
    </row>
    <row r="136" spans="11:12" ht="12.75" customHeight="1" x14ac:dyDescent="0.2">
      <c r="K136" s="3"/>
      <c r="L136" s="3"/>
    </row>
    <row r="137" spans="11:12" ht="12.75" customHeight="1" x14ac:dyDescent="0.2">
      <c r="K137" s="3"/>
      <c r="L137" s="3"/>
    </row>
    <row r="138" spans="11:12" ht="12.75" customHeight="1" x14ac:dyDescent="0.2">
      <c r="K138" s="3"/>
      <c r="L138" s="3"/>
    </row>
    <row r="139" spans="11:12" ht="12.75" customHeight="1" x14ac:dyDescent="0.2">
      <c r="K139" s="3"/>
      <c r="L139" s="3"/>
    </row>
    <row r="140" spans="11:12" ht="12.75" customHeight="1" x14ac:dyDescent="0.2">
      <c r="K140" s="3"/>
      <c r="L140" s="3"/>
    </row>
    <row r="141" spans="11:12" ht="12.75" customHeight="1" x14ac:dyDescent="0.2">
      <c r="K141" s="3"/>
      <c r="L141" s="3"/>
    </row>
    <row r="142" spans="11:12" ht="12.75" customHeight="1" x14ac:dyDescent="0.2">
      <c r="K142" s="3"/>
      <c r="L142" s="3"/>
    </row>
    <row r="143" spans="11:12" ht="12.75" customHeight="1" x14ac:dyDescent="0.2">
      <c r="K143" s="3"/>
      <c r="L143" s="3"/>
    </row>
    <row r="144" spans="11:12" ht="12.75" customHeight="1" x14ac:dyDescent="0.2">
      <c r="K144" s="3"/>
      <c r="L144" s="3"/>
    </row>
    <row r="145" spans="11:12" ht="12.75" customHeight="1" x14ac:dyDescent="0.2">
      <c r="K145" s="3"/>
      <c r="L145" s="3"/>
    </row>
    <row r="146" spans="11:12" ht="12.75" customHeight="1" x14ac:dyDescent="0.2">
      <c r="K146" s="3"/>
      <c r="L146" s="3"/>
    </row>
    <row r="147" spans="11:12" ht="12.75" customHeight="1" x14ac:dyDescent="0.2">
      <c r="K147" s="3"/>
      <c r="L147" s="3"/>
    </row>
    <row r="148" spans="11:12" ht="12.75" customHeight="1" x14ac:dyDescent="0.2">
      <c r="K148" s="3"/>
      <c r="L148" s="3"/>
    </row>
    <row r="149" spans="11:12" ht="12.75" customHeight="1" x14ac:dyDescent="0.2">
      <c r="K149" s="3"/>
      <c r="L149" s="3"/>
    </row>
    <row r="150" spans="11:12" ht="12.75" customHeight="1" x14ac:dyDescent="0.2">
      <c r="K150" s="3"/>
      <c r="L150" s="3"/>
    </row>
    <row r="151" spans="11:12" ht="12.75" customHeight="1" x14ac:dyDescent="0.2">
      <c r="K151" s="3"/>
      <c r="L151" s="3"/>
    </row>
    <row r="152" spans="11:12" ht="12.75" customHeight="1" x14ac:dyDescent="0.2">
      <c r="K152" s="3"/>
      <c r="L152" s="3"/>
    </row>
    <row r="153" spans="11:12" ht="12.75" customHeight="1" x14ac:dyDescent="0.2">
      <c r="K153" s="3"/>
      <c r="L153" s="3"/>
    </row>
    <row r="154" spans="11:12" ht="12.75" customHeight="1" x14ac:dyDescent="0.2">
      <c r="K154" s="3"/>
      <c r="L154" s="3"/>
    </row>
    <row r="155" spans="11:12" ht="12.75" customHeight="1" x14ac:dyDescent="0.2">
      <c r="K155" s="3"/>
      <c r="L155" s="3"/>
    </row>
    <row r="156" spans="11:12" ht="12.75" customHeight="1" x14ac:dyDescent="0.2">
      <c r="K156" s="3"/>
      <c r="L156" s="3"/>
    </row>
    <row r="157" spans="11:12" ht="12.75" customHeight="1" x14ac:dyDescent="0.2">
      <c r="K157" s="3"/>
      <c r="L157" s="3"/>
    </row>
    <row r="158" spans="11:12" ht="12.75" customHeight="1" x14ac:dyDescent="0.2">
      <c r="K158" s="3"/>
      <c r="L158" s="3"/>
    </row>
    <row r="159" spans="11:12" ht="12.75" customHeight="1" x14ac:dyDescent="0.2">
      <c r="K159" s="3"/>
      <c r="L159" s="3"/>
    </row>
    <row r="160" spans="11:12" ht="12.75" customHeight="1" x14ac:dyDescent="0.2">
      <c r="K160" s="3"/>
      <c r="L160" s="3"/>
    </row>
    <row r="161" spans="11:12" ht="12.75" customHeight="1" x14ac:dyDescent="0.2">
      <c r="K161" s="3"/>
      <c r="L161" s="3"/>
    </row>
    <row r="162" spans="11:12" ht="12.75" customHeight="1" x14ac:dyDescent="0.2">
      <c r="K162" s="3"/>
      <c r="L162" s="3"/>
    </row>
    <row r="163" spans="11:12" ht="12.75" customHeight="1" x14ac:dyDescent="0.2">
      <c r="K163" s="3"/>
      <c r="L163" s="3"/>
    </row>
    <row r="164" spans="11:12" ht="12.75" customHeight="1" x14ac:dyDescent="0.2">
      <c r="K164" s="3"/>
      <c r="L164" s="3"/>
    </row>
    <row r="165" spans="11:12" ht="12.75" customHeight="1" x14ac:dyDescent="0.2">
      <c r="K165" s="3"/>
      <c r="L165" s="3"/>
    </row>
    <row r="166" spans="11:12" ht="12.75" customHeight="1" x14ac:dyDescent="0.2">
      <c r="K166" s="3"/>
      <c r="L166" s="3"/>
    </row>
    <row r="167" spans="11:12" ht="12.75" customHeight="1" x14ac:dyDescent="0.2">
      <c r="K167" s="3"/>
      <c r="L167" s="3"/>
    </row>
    <row r="168" spans="11:12" ht="12.75" customHeight="1" x14ac:dyDescent="0.2">
      <c r="K168" s="3"/>
      <c r="L168" s="3"/>
    </row>
    <row r="169" spans="11:12" ht="12.75" customHeight="1" x14ac:dyDescent="0.2">
      <c r="K169" s="3"/>
      <c r="L169" s="3"/>
    </row>
    <row r="170" spans="11:12" ht="12.75" customHeight="1" x14ac:dyDescent="0.2">
      <c r="K170" s="3"/>
      <c r="L170" s="3"/>
    </row>
    <row r="171" spans="11:12" ht="12.75" customHeight="1" x14ac:dyDescent="0.2">
      <c r="K171" s="3"/>
      <c r="L171" s="3"/>
    </row>
    <row r="172" spans="11:12" ht="12.75" customHeight="1" x14ac:dyDescent="0.2">
      <c r="K172" s="3"/>
      <c r="L172" s="3"/>
    </row>
    <row r="173" spans="11:12" ht="12.75" customHeight="1" x14ac:dyDescent="0.2">
      <c r="K173" s="3"/>
      <c r="L173" s="3"/>
    </row>
    <row r="174" spans="11:12" ht="12.75" customHeight="1" x14ac:dyDescent="0.2">
      <c r="K174" s="3"/>
      <c r="L174" s="3"/>
    </row>
    <row r="175" spans="11:12" ht="12.75" customHeight="1" x14ac:dyDescent="0.2">
      <c r="K175" s="3"/>
      <c r="L175" s="3"/>
    </row>
    <row r="176" spans="11:12" ht="12.75" customHeight="1" x14ac:dyDescent="0.2">
      <c r="K176" s="3"/>
      <c r="L176" s="3"/>
    </row>
    <row r="177" spans="11:12" ht="12.75" customHeight="1" x14ac:dyDescent="0.2">
      <c r="K177" s="3"/>
      <c r="L177" s="3"/>
    </row>
    <row r="178" spans="11:12" ht="12.75" customHeight="1" x14ac:dyDescent="0.2">
      <c r="K178" s="3"/>
      <c r="L178" s="3"/>
    </row>
    <row r="179" spans="11:12" ht="12.75" customHeight="1" x14ac:dyDescent="0.2">
      <c r="K179" s="3"/>
      <c r="L179" s="3"/>
    </row>
    <row r="180" spans="11:12" ht="12.75" customHeight="1" x14ac:dyDescent="0.2">
      <c r="K180" s="3"/>
      <c r="L180" s="3"/>
    </row>
    <row r="181" spans="11:12" ht="12.75" customHeight="1" x14ac:dyDescent="0.2">
      <c r="K181" s="3"/>
      <c r="L181" s="3"/>
    </row>
    <row r="182" spans="11:12" ht="12.75" customHeight="1" x14ac:dyDescent="0.2">
      <c r="K182" s="3"/>
      <c r="L182" s="3"/>
    </row>
    <row r="183" spans="11:12" ht="12.75" customHeight="1" x14ac:dyDescent="0.2">
      <c r="K183" s="3"/>
      <c r="L183" s="3"/>
    </row>
    <row r="184" spans="11:12" ht="12.75" customHeight="1" x14ac:dyDescent="0.2">
      <c r="K184" s="3"/>
      <c r="L184" s="3"/>
    </row>
    <row r="185" spans="11:12" ht="12.75" customHeight="1" x14ac:dyDescent="0.2">
      <c r="K185" s="3"/>
      <c r="L185" s="3"/>
    </row>
    <row r="186" spans="11:12" ht="12.75" customHeight="1" x14ac:dyDescent="0.2">
      <c r="K186" s="3"/>
      <c r="L186" s="3"/>
    </row>
    <row r="187" spans="11:12" ht="12.75" customHeight="1" x14ac:dyDescent="0.2">
      <c r="K187" s="3"/>
      <c r="L187" s="3"/>
    </row>
    <row r="188" spans="11:12" ht="12.75" customHeight="1" x14ac:dyDescent="0.2">
      <c r="K188" s="3"/>
      <c r="L188" s="3"/>
    </row>
    <row r="189" spans="11:12" ht="12.75" customHeight="1" x14ac:dyDescent="0.2">
      <c r="K189" s="3"/>
      <c r="L189" s="3"/>
    </row>
    <row r="190" spans="11:12" ht="12.75" customHeight="1" x14ac:dyDescent="0.2">
      <c r="K190" s="3"/>
      <c r="L190" s="3"/>
    </row>
    <row r="191" spans="11:12" ht="12.75" customHeight="1" x14ac:dyDescent="0.2">
      <c r="K191" s="3"/>
      <c r="L191" s="3"/>
    </row>
    <row r="192" spans="11:12" ht="12.75" customHeight="1" x14ac:dyDescent="0.2">
      <c r="K192" s="3"/>
      <c r="L192" s="3"/>
    </row>
    <row r="193" spans="11:12" ht="12.75" customHeight="1" x14ac:dyDescent="0.2">
      <c r="K193" s="3"/>
      <c r="L193" s="3"/>
    </row>
    <row r="194" spans="11:12" ht="12.75" customHeight="1" x14ac:dyDescent="0.2">
      <c r="K194" s="3"/>
      <c r="L194" s="3"/>
    </row>
    <row r="195" spans="11:12" ht="12.75" customHeight="1" x14ac:dyDescent="0.2">
      <c r="K195" s="3"/>
      <c r="L195" s="3"/>
    </row>
    <row r="196" spans="11:12" ht="12.75" customHeight="1" x14ac:dyDescent="0.2">
      <c r="K196" s="3"/>
      <c r="L196" s="3"/>
    </row>
    <row r="197" spans="11:12" ht="12.75" customHeight="1" x14ac:dyDescent="0.2">
      <c r="K197" s="3"/>
      <c r="L197" s="3"/>
    </row>
    <row r="198" spans="11:12" ht="12.75" customHeight="1" x14ac:dyDescent="0.2">
      <c r="K198" s="3"/>
      <c r="L198" s="3"/>
    </row>
    <row r="199" spans="11:12" ht="12.75" customHeight="1" x14ac:dyDescent="0.2">
      <c r="K199" s="3"/>
      <c r="L199" s="3"/>
    </row>
    <row r="200" spans="11:12" ht="12.75" customHeight="1" x14ac:dyDescent="0.2">
      <c r="K200" s="3"/>
      <c r="L200" s="3"/>
    </row>
    <row r="201" spans="11:12" ht="12.75" customHeight="1" x14ac:dyDescent="0.2">
      <c r="K201" s="3"/>
      <c r="L201" s="3"/>
    </row>
    <row r="202" spans="11:12" ht="12.75" customHeight="1" x14ac:dyDescent="0.2">
      <c r="K202" s="3"/>
      <c r="L202" s="3"/>
    </row>
    <row r="203" spans="11:12" ht="12.75" customHeight="1" x14ac:dyDescent="0.2">
      <c r="K203" s="3"/>
      <c r="L203" s="3"/>
    </row>
    <row r="204" spans="11:12" ht="12.75" customHeight="1" x14ac:dyDescent="0.2">
      <c r="K204" s="3"/>
      <c r="L204" s="3"/>
    </row>
    <row r="205" spans="11:12" ht="12.75" customHeight="1" x14ac:dyDescent="0.2">
      <c r="K205" s="3"/>
      <c r="L205" s="3"/>
    </row>
    <row r="206" spans="11:12" ht="12.75" customHeight="1" x14ac:dyDescent="0.2">
      <c r="K206" s="3"/>
      <c r="L206" s="3"/>
    </row>
    <row r="207" spans="11:12" ht="12.75" customHeight="1" x14ac:dyDescent="0.2">
      <c r="K207" s="3"/>
      <c r="L207" s="3"/>
    </row>
    <row r="208" spans="11:12" ht="12.75" customHeight="1" x14ac:dyDescent="0.2">
      <c r="K208" s="3"/>
      <c r="L208" s="3"/>
    </row>
    <row r="209" spans="11:12" ht="12.75" customHeight="1" x14ac:dyDescent="0.2">
      <c r="K209" s="3"/>
      <c r="L209" s="3"/>
    </row>
    <row r="210" spans="11:12" ht="12.75" customHeight="1" x14ac:dyDescent="0.2">
      <c r="K210" s="3"/>
      <c r="L210" s="3"/>
    </row>
    <row r="211" spans="11:12" ht="12.75" customHeight="1" x14ac:dyDescent="0.2">
      <c r="K211" s="3"/>
      <c r="L211" s="3"/>
    </row>
    <row r="212" spans="11:12" ht="12.75" customHeight="1" x14ac:dyDescent="0.2">
      <c r="K212" s="3"/>
      <c r="L212" s="3"/>
    </row>
    <row r="213" spans="11:12" ht="12.75" customHeight="1" x14ac:dyDescent="0.2">
      <c r="K213" s="3"/>
      <c r="L213" s="3"/>
    </row>
    <row r="214" spans="11:12" ht="12.75" customHeight="1" x14ac:dyDescent="0.2">
      <c r="K214" s="3"/>
      <c r="L214" s="3"/>
    </row>
    <row r="215" spans="11:12" ht="12.75" customHeight="1" x14ac:dyDescent="0.2">
      <c r="K215" s="3"/>
      <c r="L215" s="3"/>
    </row>
    <row r="216" spans="11:12" ht="12.75" customHeight="1" x14ac:dyDescent="0.2">
      <c r="K216" s="3"/>
      <c r="L216" s="3"/>
    </row>
    <row r="217" spans="11:12" ht="12.75" customHeight="1" x14ac:dyDescent="0.2">
      <c r="K217" s="3"/>
      <c r="L217" s="3"/>
    </row>
    <row r="218" spans="11:12" ht="12.75" customHeight="1" x14ac:dyDescent="0.2">
      <c r="K218" s="3"/>
      <c r="L218" s="3"/>
    </row>
    <row r="219" spans="11:12" ht="12.75" customHeight="1" x14ac:dyDescent="0.2">
      <c r="K219" s="3"/>
      <c r="L219" s="3"/>
    </row>
    <row r="220" spans="11:12" ht="12.75" customHeight="1" x14ac:dyDescent="0.2">
      <c r="K220" s="3"/>
      <c r="L220" s="3"/>
    </row>
    <row r="221" spans="11:12" ht="12.75" customHeight="1" x14ac:dyDescent="0.2">
      <c r="K221" s="3"/>
      <c r="L221" s="3"/>
    </row>
    <row r="222" spans="11:12" ht="12.75" customHeight="1" x14ac:dyDescent="0.2">
      <c r="K222" s="3"/>
      <c r="L222" s="3"/>
    </row>
    <row r="223" spans="11:12" ht="12.75" customHeight="1" x14ac:dyDescent="0.2">
      <c r="K223" s="3"/>
      <c r="L223" s="3"/>
    </row>
    <row r="224" spans="11:12" ht="12.75" customHeight="1" x14ac:dyDescent="0.2">
      <c r="K224" s="3"/>
      <c r="L224" s="3"/>
    </row>
    <row r="225" spans="11:12" ht="12.75" customHeight="1" x14ac:dyDescent="0.2">
      <c r="K225" s="3"/>
      <c r="L225" s="3"/>
    </row>
    <row r="226" spans="11:12" ht="12.75" customHeight="1" x14ac:dyDescent="0.2">
      <c r="K226" s="3"/>
      <c r="L226" s="3"/>
    </row>
    <row r="227" spans="11:12" ht="12.75" customHeight="1" x14ac:dyDescent="0.2">
      <c r="K227" s="3"/>
      <c r="L227" s="3"/>
    </row>
    <row r="228" spans="11:12" ht="12.75" customHeight="1" x14ac:dyDescent="0.2">
      <c r="K228" s="3"/>
      <c r="L228" s="3"/>
    </row>
    <row r="229" spans="11:12" ht="12.75" customHeight="1" x14ac:dyDescent="0.2">
      <c r="K229" s="3"/>
      <c r="L229" s="3"/>
    </row>
    <row r="230" spans="11:12" ht="12.75" customHeight="1" x14ac:dyDescent="0.2">
      <c r="K230" s="3"/>
      <c r="L230" s="3"/>
    </row>
    <row r="231" spans="11:12" ht="12.75" customHeight="1" x14ac:dyDescent="0.2">
      <c r="K231" s="3"/>
      <c r="L231" s="3"/>
    </row>
    <row r="232" spans="11:12" ht="12.75" customHeight="1" x14ac:dyDescent="0.2">
      <c r="K232" s="3"/>
      <c r="L232" s="3"/>
    </row>
    <row r="233" spans="11:12" ht="12.75" customHeight="1" x14ac:dyDescent="0.2">
      <c r="K233" s="3"/>
      <c r="L233" s="3"/>
    </row>
    <row r="234" spans="11:12" ht="12.75" customHeight="1" x14ac:dyDescent="0.2">
      <c r="K234" s="3"/>
      <c r="L234" s="3"/>
    </row>
    <row r="235" spans="11:12" ht="12.75" customHeight="1" x14ac:dyDescent="0.2">
      <c r="K235" s="3"/>
      <c r="L235" s="3"/>
    </row>
    <row r="236" spans="11:12" ht="12.75" customHeight="1" x14ac:dyDescent="0.2">
      <c r="K236" s="3"/>
      <c r="L236" s="3"/>
    </row>
    <row r="237" spans="11:12" ht="12.75" customHeight="1" x14ac:dyDescent="0.2">
      <c r="K237" s="3"/>
      <c r="L237" s="3"/>
    </row>
    <row r="238" spans="11:12" ht="12.75" customHeight="1" x14ac:dyDescent="0.2">
      <c r="K238" s="3"/>
      <c r="L238" s="3"/>
    </row>
    <row r="239" spans="11:12" ht="12.75" customHeight="1" x14ac:dyDescent="0.2">
      <c r="K239" s="3"/>
      <c r="L239" s="3"/>
    </row>
    <row r="240" spans="11:12" ht="12.75" customHeight="1" x14ac:dyDescent="0.2">
      <c r="K240" s="3"/>
      <c r="L240" s="3"/>
    </row>
    <row r="241" spans="11:12" ht="12.75" customHeight="1" x14ac:dyDescent="0.2">
      <c r="K241" s="3"/>
      <c r="L241" s="3"/>
    </row>
    <row r="242" spans="11:12" ht="12.75" customHeight="1" x14ac:dyDescent="0.2">
      <c r="K242" s="3"/>
      <c r="L242" s="3"/>
    </row>
    <row r="243" spans="11:12" ht="12.75" customHeight="1" x14ac:dyDescent="0.2">
      <c r="K243" s="3"/>
      <c r="L243" s="3"/>
    </row>
    <row r="244" spans="11:12" ht="12.75" customHeight="1" x14ac:dyDescent="0.2">
      <c r="K244" s="3"/>
      <c r="L244" s="3"/>
    </row>
    <row r="245" spans="11:12" ht="12.75" customHeight="1" x14ac:dyDescent="0.2">
      <c r="K245" s="3"/>
      <c r="L245" s="3"/>
    </row>
    <row r="246" spans="11:12" ht="12.75" customHeight="1" x14ac:dyDescent="0.2">
      <c r="K246" s="3"/>
      <c r="L246" s="3"/>
    </row>
    <row r="247" spans="11:12" ht="12.75" customHeight="1" x14ac:dyDescent="0.2">
      <c r="K247" s="3"/>
      <c r="L247" s="3"/>
    </row>
    <row r="248" spans="11:12" ht="12.75" customHeight="1" x14ac:dyDescent="0.2">
      <c r="K248" s="3"/>
      <c r="L248" s="3"/>
    </row>
    <row r="249" spans="11:12" ht="12.75" customHeight="1" x14ac:dyDescent="0.2">
      <c r="K249" s="3"/>
      <c r="L249" s="3"/>
    </row>
    <row r="250" spans="11:12" ht="12.75" customHeight="1" x14ac:dyDescent="0.2">
      <c r="K250" s="3"/>
      <c r="L250" s="3"/>
    </row>
    <row r="251" spans="11:12" ht="12.75" customHeight="1" x14ac:dyDescent="0.2">
      <c r="K251" s="3"/>
      <c r="L251" s="3"/>
    </row>
    <row r="252" spans="11:12" ht="12.75" customHeight="1" x14ac:dyDescent="0.2">
      <c r="K252" s="3"/>
      <c r="L252" s="3"/>
    </row>
    <row r="253" spans="11:12" ht="12.75" customHeight="1" x14ac:dyDescent="0.2">
      <c r="K253" s="3"/>
      <c r="L253" s="3"/>
    </row>
    <row r="254" spans="11:12" ht="12.75" customHeight="1" x14ac:dyDescent="0.2">
      <c r="K254" s="3"/>
      <c r="L254" s="3"/>
    </row>
    <row r="255" spans="11:12" ht="12.75" customHeight="1" x14ac:dyDescent="0.2">
      <c r="K255" s="3"/>
      <c r="L255" s="3"/>
    </row>
    <row r="256" spans="11:12" ht="12.75" customHeight="1" x14ac:dyDescent="0.2">
      <c r="K256" s="3"/>
      <c r="L256" s="3"/>
    </row>
    <row r="257" spans="11:12" ht="12.75" customHeight="1" x14ac:dyDescent="0.2">
      <c r="K257" s="3"/>
      <c r="L257" s="3"/>
    </row>
    <row r="258" spans="11:12" ht="12.75" customHeight="1" x14ac:dyDescent="0.2">
      <c r="K258" s="3"/>
      <c r="L258" s="3"/>
    </row>
    <row r="259" spans="11:12" ht="12.75" customHeight="1" x14ac:dyDescent="0.2">
      <c r="K259" s="3"/>
      <c r="L259" s="3"/>
    </row>
    <row r="260" spans="11:12" ht="12.75" customHeight="1" x14ac:dyDescent="0.2">
      <c r="K260" s="3"/>
      <c r="L260" s="3"/>
    </row>
    <row r="261" spans="11:12" ht="12.75" customHeight="1" x14ac:dyDescent="0.2">
      <c r="K261" s="3"/>
      <c r="L261" s="3"/>
    </row>
    <row r="262" spans="11:12" ht="12.75" customHeight="1" x14ac:dyDescent="0.2">
      <c r="K262" s="3"/>
      <c r="L262" s="3"/>
    </row>
    <row r="263" spans="11:12" ht="12.75" customHeight="1" x14ac:dyDescent="0.2">
      <c r="K263" s="3"/>
      <c r="L263" s="3"/>
    </row>
    <row r="264" spans="11:12" ht="12.75" customHeight="1" x14ac:dyDescent="0.2">
      <c r="K264" s="3"/>
      <c r="L264" s="3"/>
    </row>
    <row r="265" spans="11:12" ht="12.75" customHeight="1" x14ac:dyDescent="0.2">
      <c r="K265" s="3"/>
      <c r="L265" s="3"/>
    </row>
    <row r="266" spans="11:12" ht="12.75" customHeight="1" x14ac:dyDescent="0.2">
      <c r="K266" s="3"/>
      <c r="L266" s="3"/>
    </row>
    <row r="267" spans="11:12" ht="12.75" customHeight="1" x14ac:dyDescent="0.2">
      <c r="K267" s="3"/>
      <c r="L267" s="3"/>
    </row>
    <row r="268" spans="11:12" ht="12.75" customHeight="1" x14ac:dyDescent="0.2">
      <c r="K268" s="3"/>
      <c r="L268" s="3"/>
    </row>
    <row r="269" spans="11:12" ht="12.75" customHeight="1" x14ac:dyDescent="0.2">
      <c r="K269" s="3"/>
      <c r="L269" s="3"/>
    </row>
    <row r="270" spans="11:12" ht="12.75" customHeight="1" x14ac:dyDescent="0.2">
      <c r="K270" s="3"/>
      <c r="L270" s="3"/>
    </row>
    <row r="271" spans="11:12" ht="12.75" customHeight="1" x14ac:dyDescent="0.2">
      <c r="K271" s="3"/>
      <c r="L271" s="3"/>
    </row>
    <row r="272" spans="11:12" ht="12.75" customHeight="1" x14ac:dyDescent="0.2">
      <c r="K272" s="3"/>
      <c r="L272" s="3"/>
    </row>
    <row r="273" spans="11:12" ht="12.75" customHeight="1" x14ac:dyDescent="0.2">
      <c r="K273" s="3"/>
      <c r="L273" s="3"/>
    </row>
    <row r="274" spans="11:12" ht="12.75" customHeight="1" x14ac:dyDescent="0.2">
      <c r="K274" s="3"/>
      <c r="L274" s="3"/>
    </row>
    <row r="275" spans="11:12" ht="12.75" customHeight="1" x14ac:dyDescent="0.2">
      <c r="K275" s="3"/>
      <c r="L275" s="3"/>
    </row>
    <row r="276" spans="11:12" ht="15.75" customHeight="1" x14ac:dyDescent="0.2"/>
    <row r="277" spans="11:12" ht="15.75" customHeight="1" x14ac:dyDescent="0.2"/>
    <row r="278" spans="11:12" ht="15.75" customHeight="1" x14ac:dyDescent="0.2"/>
    <row r="279" spans="11:12" ht="15.75" customHeight="1" x14ac:dyDescent="0.2"/>
    <row r="280" spans="11:12" ht="15.75" customHeight="1" x14ac:dyDescent="0.2"/>
    <row r="281" spans="11:12" ht="15.75" customHeight="1" x14ac:dyDescent="0.2"/>
    <row r="282" spans="11:12" ht="15.75" customHeight="1" x14ac:dyDescent="0.2"/>
    <row r="283" spans="11:12" ht="15.75" customHeight="1" x14ac:dyDescent="0.2"/>
    <row r="284" spans="11:12" ht="15.75" customHeight="1" x14ac:dyDescent="0.2"/>
    <row r="285" spans="11:12" ht="15.75" customHeight="1" x14ac:dyDescent="0.2"/>
    <row r="286" spans="11:12" ht="15.75" customHeight="1" x14ac:dyDescent="0.2"/>
    <row r="287" spans="11:12" ht="15.75" customHeight="1" x14ac:dyDescent="0.2"/>
    <row r="288" spans="11:12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autoFilter ref="M10:N58" xr:uid="{00000000-0009-0000-0000-000033000000}">
    <sortState xmlns:xlrd2="http://schemas.microsoft.com/office/spreadsheetml/2017/richdata2" ref="M11:N58">
      <sortCondition descending="1" ref="N10:N58"/>
    </sortState>
  </autoFilter>
  <mergeCells count="34">
    <mergeCell ref="A53:B53"/>
    <mergeCell ref="A54:B54"/>
    <mergeCell ref="A55:B55"/>
    <mergeCell ref="A56:B56"/>
    <mergeCell ref="A57:B57"/>
    <mergeCell ref="A47:B47"/>
    <mergeCell ref="A48:B48"/>
    <mergeCell ref="A49:B49"/>
    <mergeCell ref="A50:B50"/>
    <mergeCell ref="A51:B51"/>
    <mergeCell ref="A52:B52"/>
    <mergeCell ref="M8:N9"/>
    <mergeCell ref="O8:P9"/>
    <mergeCell ref="A43:B43"/>
    <mergeCell ref="A44:B44"/>
    <mergeCell ref="A45:B45"/>
    <mergeCell ref="A46:B46"/>
    <mergeCell ref="J6:J9"/>
    <mergeCell ref="C8:C9"/>
    <mergeCell ref="D8:D9"/>
    <mergeCell ref="E8:E9"/>
    <mergeCell ref="F8:F9"/>
    <mergeCell ref="G8:G9"/>
    <mergeCell ref="H8:H9"/>
    <mergeCell ref="A1:J1"/>
    <mergeCell ref="A2:J2"/>
    <mergeCell ref="A3:J3"/>
    <mergeCell ref="A4:J4"/>
    <mergeCell ref="A5:J5"/>
    <mergeCell ref="A6:A9"/>
    <mergeCell ref="B6:B9"/>
    <mergeCell ref="C6:F7"/>
    <mergeCell ref="G6:H7"/>
    <mergeCell ref="I6:I9"/>
  </mergeCells>
  <printOptions horizontalCentered="1"/>
  <pageMargins left="0.74803149606299213" right="0.23622047244094491" top="0.78740157480314965" bottom="0.82677165354330717" header="0" footer="0"/>
  <pageSetup paperSize="14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Lada</vt:lpstr>
      <vt:lpstr>Lada!Z_3F279D1F_CFB3_4226_902F_136088D6AABE_.wvu.Cols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Dzaki Azhar</dc:creator>
  <cp:lastModifiedBy>Muhammad Dzaki Azhar</cp:lastModifiedBy>
  <dcterms:created xsi:type="dcterms:W3CDTF">2024-08-19T08:21:18Z</dcterms:created>
  <dcterms:modified xsi:type="dcterms:W3CDTF">2024-08-19T08:21:52Z</dcterms:modified>
</cp:coreProperties>
</file>