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0" windowWidth="10365" windowHeight="7605"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19" i="13" l="1"/>
  <c r="J18" i="13"/>
  <c r="AB11" i="30" s="1"/>
  <c r="J17" i="13"/>
  <c r="AB10" i="30" s="1"/>
  <c r="J16" i="13"/>
  <c r="J35" i="13"/>
  <c r="J34" i="13"/>
  <c r="J33" i="13"/>
  <c r="AB26" i="30" s="1"/>
  <c r="J32" i="13"/>
  <c r="AB25" i="30" s="1"/>
  <c r="J31" i="13"/>
  <c r="J30" i="13"/>
  <c r="J29" i="13"/>
  <c r="AB22" i="30" s="1"/>
  <c r="J28" i="13"/>
  <c r="AB21" i="30" s="1"/>
  <c r="J27" i="13"/>
  <c r="J26" i="13"/>
  <c r="AB19" i="30" s="1"/>
  <c r="J25" i="13"/>
  <c r="AB18" i="30" s="1"/>
  <c r="J24" i="13"/>
  <c r="AB17" i="30" s="1"/>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B24" i="30"/>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AB12" i="30"/>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AB2" i="30" s="1"/>
  <c r="J13" i="12"/>
  <c r="T6" i="30" s="1"/>
  <c r="AB28" i="30"/>
  <c r="AB27" i="30"/>
  <c r="AB23" i="30"/>
  <c r="AB20" i="30"/>
  <c r="H18" i="12"/>
  <c r="J10" i="12"/>
  <c r="T3" i="30" s="1"/>
  <c r="J9" i="12"/>
  <c r="T2" i="30" s="1"/>
  <c r="J305" i="11"/>
  <c r="J104" i="11"/>
  <c r="J12" i="12"/>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<sst xmlns="http://schemas.openxmlformats.org/spreadsheetml/2006/main" count="1581" uniqueCount="344">
  <si>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</si>
  <si>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</si>
  <si>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</si>
  <si>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</si>
  <si>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</si>
  <si>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</si>
  <si>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</si>
  <si>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</si>
  <si>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</si>
  <si>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</si>
  <si>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</si>
  <si>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</si>
  <si>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</si>
  <si>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</si>
  <si>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</si>
  <si>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</si>
  <si>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</si>
  <si>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</si>
  <si>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</si>
  <si>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</si>
  <si>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</si>
  <si>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</si>
  <si>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</si>
  <si>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</si>
  <si>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</si>
  <si>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</si>
  <si>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</si>
  <si>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</si>
  <si>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</si>
  <si>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</si>
  <si>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</si>
  <si>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</si>
  <si>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</si>
  <si>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</si>
  <si>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</si>
  <si>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</si>
  <si>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</si>
  <si>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</si>
  <si>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</si>
  <si>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</si>
  <si>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</si>
  <si>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</si>
  <si>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</si>
  <si>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</si>
  <si>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</si>
  <si>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</si>
  <si>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</si>
  <si>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</si>
  <si>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</si>
  <si>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</si>
  <si>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</si>
  <si>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</si>
  <si>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</si>
  <si>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</si>
  <si>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</si>
  <si>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</si>
  <si>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</si>
  <si>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</si>
  <si>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</si>
  <si>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</si>
  <si>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</si>
  <si>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</si>
  <si>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</si>
  <si>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</si>
  <si>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</si>
  <si>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</si>
  <si>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</si>
  <si>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</si>
  <si>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</si>
  <si>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</si>
  <si>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</si>
  <si>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</si>
  <si>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</si>
  <si>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</si>
  <si>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</si>
  <si>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</si>
  <si>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</si>
  <si>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</si>
  <si>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</si>
  <si>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</si>
  <si>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</si>
  <si>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</si>
  <si>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</si>
  <si>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</si>
  <si>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</si>
  <si>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</si>
  <si>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</si>
  <si>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</si>
  <si>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</si>
  <si>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</si>
  <si>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</si>
  <si>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</si>
  <si>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</si>
  <si>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</si>
  <si>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</si>
  <si>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</si>
  <si>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</si>
  <si>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</si>
  <si>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</si>
  <si>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</si>
  <si>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</si>
  <si>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</si>
  <si>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</si>
  <si>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</si>
  <si>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</si>
  <si>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</si>
  <si>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</si>
  <si>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</si>
  <si>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</si>
  <si>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</si>
  <si>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</si>
  <si>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</si>
  <si>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</si>
  <si>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</si>
  <si>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</si>
  <si>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</si>
  <si>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</si>
  <si>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</si>
  <si>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</si>
  <si>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</si>
  <si>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</si>
  <si>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</si>
  <si>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</si>
  <si>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</si>
  <si>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</si>
  <si>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</si>
  <si>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</si>
  <si>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</si>
  <si>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</si>
  <si>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</si>
  <si>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</si>
  <si>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</si>
  <si>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</si>
  <si>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</si>
  <si>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</si>
  <si>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</si>
  <si>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</si>
  <si>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</si>
  <si>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</si>
  <si>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</si>
  <si>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</si>
  <si>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</si>
  <si>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</si>
  <si>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</si>
  <si>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</si>
  <si>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</si>
  <si>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</si>
  <si>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</si>
  <si>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</si>
  <si>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</si>
  <si>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</si>
  <si>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</si>
  <si>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</si>
  <si>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</si>
  <si>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</si>
  <si>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</si>
  <si>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</si>
  <si>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</si>
  <si>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</si>
  <si>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</si>
  <si>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</si>
  <si>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</si>
  <si>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</si>
  <si>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</si>
  <si>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</si>
  <si>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</si>
  <si>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</si>
  <si>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</si>
  <si>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</si>
  <si>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</si>
  <si>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</si>
  <si>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</si>
  <si>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</si>
  <si>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</si>
  <si>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</si>
  <si>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</si>
  <si>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</si>
  <si>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</si>
  <si>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</si>
  <si>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</si>
  <si>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</si>
  <si>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</si>
  <si>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</si>
  <si>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</si>
  <si>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</si>
  <si>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</si>
  <si>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</si>
  <si>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</si>
  <si>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</si>
  <si>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</si>
  <si>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</si>
  <si>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</si>
  <si>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</si>
  <si>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</si>
  <si>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</si>
  <si>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</si>
  <si>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</si>
  <si>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</si>
  <si>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</si>
  <si>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</si>
  <si>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</si>
  <si>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</si>
  <si>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</si>
  <si>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</si>
  <si>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</si>
  <si>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</si>
  <si>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</si>
  <si>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</si>
  <si>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</si>
  <si>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</si>
  <si>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</si>
  <si>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</si>
  <si>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</si>
  <si>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</si>
  <si>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</si>
  <si>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</si>
  <si>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</si>
  <si>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</si>
  <si>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</si>
  <si>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</si>
  <si>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</si>
  <si>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</si>
  <si>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</si>
  <si>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</si>
  <si>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</si>
  <si>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</si>
  <si>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</si>
  <si>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</si>
  <si>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</si>
  <si>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</si>
  <si>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</si>
  <si>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</si>
  <si>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</si>
  <si>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</si>
  <si>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</si>
  <si>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</si>
  <si>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</si>
  <si>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</si>
  <si>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</si>
  <si>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</si>
  <si>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</si>
  <si>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</si>
  <si>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</si>
  <si>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</si>
  <si>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</si>
  <si>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</si>
  <si>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</si>
  <si>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</si>
  <si>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</si>
  <si>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</si>
  <si>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</si>
  <si>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</si>
  <si>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</si>
  <si>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</si>
  <si>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</si>
  <si>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</si>
  <si>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</si>
  <si>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</si>
  <si>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</si>
  <si>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</si>
  <si>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</si>
  <si>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</si>
  <si>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</si>
  <si>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</si>
  <si>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</si>
  <si>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</si>
  <si>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</si>
  <si>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</si>
  <si>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</si>
  <si>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</si>
  <si>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</si>
  <si>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</si>
  <si>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</si>
  <si>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</si>
  <si>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</si>
  <si>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</si>
  <si>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</si>
  <si>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</si>
  <si>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</si>
  <si>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</si>
  <si>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</si>
  <si>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</si>
  <si>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</si>
  <si>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</si>
  <si>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</si>
  <si>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</si>
  <si>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</si>
  <si>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</si>
  <si>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</si>
  <si>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</si>
  <si>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</si>
  <si>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</si>
  <si>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</si>
  <si>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</si>
  <si>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</si>
  <si>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</si>
  <si>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</si>
  <si>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</si>
  <si>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</si>
  <si>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</si>
  <si>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</si>
  <si>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</si>
  <si>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</si>
  <si>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</si>
  <si>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</si>
  <si>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</si>
  <si>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</si>
  <si>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</si>
  <si>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</si>
  <si>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</si>
  <si>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</si>
  <si>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</si>
  <si>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</si>
  <si>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</si>
  <si>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</si>
  <si>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</si>
  <si>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</si>
  <si>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</si>
  <si>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</si>
  <si>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</si>
  <si>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</si>
  <si>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</si>
  <si>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</si>
  <si>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</si>
  <si>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</si>
  <si>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</si>
  <si>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</si>
  <si>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</si>
  <si>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</si>
  <si>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</si>
  <si>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</si>
  <si>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</si>
  <si>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</si>
  <si>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</si>
  <si>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</si>
  <si>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</si>
  <si>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</si>
  <si>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</si>
  <si>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</si>
  <si>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</si>
  <si>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III MARET ( 14 MARET S/D 20 MARET 2023 ) dalam Juta m3  </t>
  </si>
  <si>
    <t>MINGGU KE III MARET 2023</t>
  </si>
  <si>
    <t>MINGGU  :  III MARET 2023</t>
  </si>
  <si>
    <t>*) = KONDISI  SAMPAI DENGAN TANGGAL 20 MARET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</si>
</sst>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1536.02</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30216960"/>
        <c:axId val="30218880"/>
      </c:lineChart>
      <c:catAx>
        <c:axId val="302169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30218880"/>
        <c:crosses val="autoZero"/>
        <c:auto val="0"/>
        <c:lblAlgn val="ctr"/>
        <c:lblOffset val="100"/>
        <c:tickLblSkip val="1"/>
        <c:tickMarkSkip val="1"/>
        <c:noMultiLvlLbl val="0"/>
      </c:catAx>
      <c:valAx>
        <c:axId val="3021888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021696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0374528"/>
        <c:axId val="30380416"/>
      </c:lineChart>
      <c:catAx>
        <c:axId val="303745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0380416"/>
        <c:crosses val="autoZero"/>
        <c:auto val="0"/>
        <c:lblAlgn val="ctr"/>
        <c:lblOffset val="100"/>
        <c:tickLblSkip val="1"/>
        <c:tickMarkSkip val="1"/>
        <c:noMultiLvlLbl val="0"/>
      </c:catAx>
      <c:valAx>
        <c:axId val="3038041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037452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layout/>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0941952"/>
        <c:axId val="30943488"/>
      </c:lineChart>
      <c:catAx>
        <c:axId val="309419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0943488"/>
        <c:crosses val="autoZero"/>
        <c:auto val="0"/>
        <c:lblAlgn val="ctr"/>
        <c:lblOffset val="100"/>
        <c:tickLblSkip val="1"/>
        <c:tickMarkSkip val="1"/>
        <c:noMultiLvlLbl val="0"/>
      </c:catAx>
      <c:valAx>
        <c:axId val="3094348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09419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2468992"/>
        <c:axId val="32470528"/>
      </c:lineChart>
      <c:catAx>
        <c:axId val="3246899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2470528"/>
        <c:crosses val="autoZero"/>
        <c:auto val="1"/>
        <c:lblAlgn val="ctr"/>
        <c:lblOffset val="100"/>
        <c:noMultiLvlLbl val="0"/>
      </c:catAx>
      <c:valAx>
        <c:axId val="3247052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246899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32117504"/>
        <c:axId val="32119424"/>
      </c:barChart>
      <c:catAx>
        <c:axId val="3211750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2119424"/>
        <c:crossesAt val="0"/>
        <c:auto val="0"/>
        <c:lblAlgn val="ctr"/>
        <c:lblOffset val="100"/>
        <c:tickLblSkip val="1"/>
        <c:tickMarkSkip val="1"/>
        <c:noMultiLvlLbl val="0"/>
      </c:catAx>
      <c:valAx>
        <c:axId val="3211942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211750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30880128"/>
        <c:axId val="30881664"/>
      </c:lineChart>
      <c:dateAx>
        <c:axId val="3088012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0881664"/>
        <c:crosses val="autoZero"/>
        <c:auto val="0"/>
        <c:lblOffset val="100"/>
        <c:baseTimeUnit val="days"/>
        <c:majorUnit val="1"/>
        <c:majorTimeUnit val="months"/>
        <c:minorUnit val="1"/>
        <c:minorTimeUnit val="months"/>
      </c:dateAx>
      <c:valAx>
        <c:axId val="3088166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088012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33259904"/>
        <c:axId val="3326182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33259904"/>
        <c:axId val="33261824"/>
      </c:lineChart>
      <c:catAx>
        <c:axId val="33259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3261824"/>
        <c:crosses val="autoZero"/>
        <c:auto val="0"/>
        <c:lblAlgn val="ctr"/>
        <c:lblOffset val="100"/>
        <c:tickLblSkip val="1"/>
        <c:tickMarkSkip val="1"/>
        <c:noMultiLvlLbl val="0"/>
      </c:catAx>
      <c:valAx>
        <c:axId val="3326182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32599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31.722000000000001</c:v>
                </c:pt>
                <c:pt idx="1">
                  <c:v>39.430999999999997</c:v>
                </c:pt>
                <c:pt idx="2">
                  <c:v>37.220999999999997</c:v>
                </c:pt>
                <c:pt idx="3">
                  <c:v>543.30799999999999</c:v>
                </c:pt>
                <c:pt idx="4">
                  <c:v>313.15899999999999</c:v>
                </c:pt>
                <c:pt idx="5">
                  <c:v>31.55</c:v>
                </c:pt>
                <c:pt idx="6">
                  <c:v>359.94</c:v>
                </c:pt>
                <c:pt idx="7">
                  <c:v>5.734</c:v>
                </c:pt>
                <c:pt idx="8">
                  <c:v>9.93</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29.757999999999999</c:v>
                </c:pt>
                <c:pt idx="1">
                  <c:v>47.722999999999999</c:v>
                </c:pt>
                <c:pt idx="2">
                  <c:v>25.122</c:v>
                </c:pt>
                <c:pt idx="3">
                  <c:v>680.19500000000005</c:v>
                </c:pt>
                <c:pt idx="4">
                  <c:v>351.02</c:v>
                </c:pt>
                <c:pt idx="5">
                  <c:v>24.43</c:v>
                </c:pt>
                <c:pt idx="6">
                  <c:v>287.35000000000002</c:v>
                </c:pt>
                <c:pt idx="7">
                  <c:v>10.247999999999999</c:v>
                </c:pt>
                <c:pt idx="8">
                  <c:v>11.07</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2522240"/>
        <c:axId val="3252416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55.53</c:v>
                </c:pt>
                <c:pt idx="1">
                  <c:v>77.3</c:v>
                </c:pt>
                <c:pt idx="2">
                  <c:v>461.75</c:v>
                </c:pt>
                <c:pt idx="3">
                  <c:v>89.94</c:v>
                </c:pt>
                <c:pt idx="4">
                  <c:v>135.72</c:v>
                </c:pt>
                <c:pt idx="5">
                  <c:v>66.78</c:v>
                </c:pt>
                <c:pt idx="6">
                  <c:v>174.71</c:v>
                </c:pt>
                <c:pt idx="7">
                  <c:v>229.92</c:v>
                </c:pt>
                <c:pt idx="8">
                  <c:v>149.44</c:v>
                </c:pt>
              </c:numCache>
            </c:numRef>
          </c:cat>
          <c:val>
            <c:numRef>
              <c:f>'RINCI 1'!$F$9:$F$17</c:f>
              <c:numCache>
                <c:formatCode>_(* #,##0.00_);_(* \(#,##0.00\);_(* "-"??_);_(@_)</c:formatCode>
                <c:ptCount val="9"/>
                <c:pt idx="0">
                  <c:v>55.85</c:v>
                </c:pt>
                <c:pt idx="1">
                  <c:v>75.94</c:v>
                </c:pt>
                <c:pt idx="2">
                  <c:v>462.47</c:v>
                </c:pt>
                <c:pt idx="3">
                  <c:v>86.97</c:v>
                </c:pt>
                <c:pt idx="4">
                  <c:v>135</c:v>
                </c:pt>
                <c:pt idx="5">
                  <c:v>70.33</c:v>
                </c:pt>
                <c:pt idx="6">
                  <c:v>184.23</c:v>
                </c:pt>
                <c:pt idx="7">
                  <c:v>229.02</c:v>
                </c:pt>
                <c:pt idx="8">
                  <c:v>148.32</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55.53</c:v>
                </c:pt>
                <c:pt idx="1">
                  <c:v>77.3</c:v>
                </c:pt>
                <c:pt idx="2">
                  <c:v>461.75</c:v>
                </c:pt>
                <c:pt idx="3">
                  <c:v>89.94</c:v>
                </c:pt>
                <c:pt idx="4">
                  <c:v>135.72</c:v>
                </c:pt>
                <c:pt idx="5">
                  <c:v>66.78</c:v>
                </c:pt>
                <c:pt idx="6">
                  <c:v>174.71</c:v>
                </c:pt>
                <c:pt idx="7">
                  <c:v>229.92</c:v>
                </c:pt>
                <c:pt idx="8">
                  <c:v>149.44</c:v>
                </c:pt>
              </c:numCache>
            </c:numRef>
          </c:cat>
          <c:val>
            <c:numRef>
              <c:f>'RINCI 1'!$G$9:$G$17</c:f>
              <c:numCache>
                <c:formatCode>_(* #,##0.00_);_(* \(#,##0.00\);_(* "-"??_);_(@_)</c:formatCode>
                <c:ptCount val="9"/>
                <c:pt idx="0">
                  <c:v>55.53</c:v>
                </c:pt>
                <c:pt idx="1">
                  <c:v>77.3</c:v>
                </c:pt>
                <c:pt idx="2">
                  <c:v>461.75</c:v>
                </c:pt>
                <c:pt idx="3">
                  <c:v>89.94</c:v>
                </c:pt>
                <c:pt idx="4">
                  <c:v>135.72</c:v>
                </c:pt>
                <c:pt idx="5">
                  <c:v>66.78</c:v>
                </c:pt>
                <c:pt idx="6">
                  <c:v>174.71</c:v>
                </c:pt>
                <c:pt idx="7">
                  <c:v>229.92</c:v>
                </c:pt>
                <c:pt idx="8">
                  <c:v>149.44</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2526336"/>
        <c:axId val="32528256"/>
      </c:lineChart>
      <c:catAx>
        <c:axId val="3252224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2524160"/>
        <c:crossesAt val="10"/>
        <c:auto val="0"/>
        <c:lblAlgn val="ctr"/>
        <c:lblOffset val="100"/>
        <c:tickLblSkip val="1"/>
        <c:tickMarkSkip val="1"/>
        <c:noMultiLvlLbl val="0"/>
      </c:catAx>
      <c:valAx>
        <c:axId val="3252416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2522240"/>
        <c:crosses val="autoZero"/>
        <c:crossBetween val="between"/>
        <c:majorUnit val="50"/>
      </c:valAx>
      <c:catAx>
        <c:axId val="3252633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32528256"/>
        <c:crosses val="autoZero"/>
        <c:auto val="0"/>
        <c:lblAlgn val="ctr"/>
        <c:lblOffset val="100"/>
        <c:noMultiLvlLbl val="0"/>
      </c:catAx>
      <c:valAx>
        <c:axId val="3252825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252633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0.622</c:v>
                </c:pt>
                <c:pt idx="1">
                  <c:v>0.68300000000000005</c:v>
                </c:pt>
                <c:pt idx="2">
                  <c:v>0.45800000000000002</c:v>
                </c:pt>
                <c:pt idx="3">
                  <c:v>2.4929999999999999</c:v>
                </c:pt>
                <c:pt idx="4">
                  <c:v>7.5999999999999998E-2</c:v>
                </c:pt>
                <c:pt idx="5">
                  <c:v>9.7000000000000003E-2</c:v>
                </c:pt>
                <c:pt idx="6">
                  <c:v>7.1310000000000002</c:v>
                </c:pt>
                <c:pt idx="7">
                  <c:v>1.86</c:v>
                </c:pt>
                <c:pt idx="8">
                  <c:v>3.2050000000000001</c:v>
                </c:pt>
                <c:pt idx="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2636288"/>
        <c:axId val="3067200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0.6</c:v>
                </c:pt>
                <c:pt idx="1">
                  <c:v>0.71</c:v>
                </c:pt>
                <c:pt idx="2">
                  <c:v>0.48</c:v>
                </c:pt>
                <c:pt idx="3">
                  <c:v>2.93</c:v>
                </c:pt>
                <c:pt idx="4">
                  <c:v>0.08</c:v>
                </c:pt>
                <c:pt idx="5">
                  <c:v>7.0000000000000007E-2</c:v>
                </c:pt>
                <c:pt idx="6">
                  <c:v>9.6999999999999993</c:v>
                </c:pt>
                <c:pt idx="7">
                  <c:v>2.4300000000000002</c:v>
                </c:pt>
                <c:pt idx="8">
                  <c:v>4.04</c:v>
                </c:pt>
                <c:pt idx="9">
                  <c:v>2.66</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30673920"/>
        <c:axId val="30675712"/>
      </c:lineChart>
      <c:catAx>
        <c:axId val="3263628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0672000"/>
        <c:crosses val="autoZero"/>
        <c:auto val="1"/>
        <c:lblAlgn val="ctr"/>
        <c:lblOffset val="100"/>
        <c:tickMarkSkip val="1"/>
        <c:noMultiLvlLbl val="0"/>
      </c:catAx>
      <c:valAx>
        <c:axId val="3067200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2636288"/>
        <c:crosses val="autoZero"/>
        <c:crossBetween val="between"/>
        <c:majorUnit val="0.5"/>
      </c:valAx>
      <c:catAx>
        <c:axId val="30673920"/>
        <c:scaling>
          <c:orientation val="minMax"/>
        </c:scaling>
        <c:delete val="1"/>
        <c:axPos val="b"/>
        <c:numFmt formatCode="General" sourceLinked="1"/>
        <c:majorTickMark val="out"/>
        <c:minorTickMark val="none"/>
        <c:tickLblPos val="nextTo"/>
        <c:crossAx val="30675712"/>
        <c:crosses val="autoZero"/>
        <c:auto val="1"/>
        <c:lblAlgn val="ctr"/>
        <c:lblOffset val="100"/>
        <c:noMultiLvlLbl val="0"/>
      </c:catAx>
      <c:valAx>
        <c:axId val="3067571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3067392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325.3</c:v>
                </c:pt>
                <c:pt idx="1">
                  <c:v>129</c:v>
                </c:pt>
                <c:pt idx="2">
                  <c:v>282.7</c:v>
                </c:pt>
                <c:pt idx="3">
                  <c:v>98.46</c:v>
                </c:pt>
                <c:pt idx="4">
                  <c:v>189.5</c:v>
                </c:pt>
                <c:pt idx="5">
                  <c:v>171.2</c:v>
                </c:pt>
                <c:pt idx="6">
                  <c:v>139.58000000000001</c:v>
                </c:pt>
                <c:pt idx="7">
                  <c:v>238</c:v>
                </c:pt>
                <c:pt idx="8">
                  <c:v>120.25</c:v>
                </c:pt>
                <c:pt idx="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325.10000000000002</c:v>
                </c:pt>
                <c:pt idx="1">
                  <c:v>129.19999999999999</c:v>
                </c:pt>
                <c:pt idx="2">
                  <c:v>282.89999999999998</c:v>
                </c:pt>
                <c:pt idx="3">
                  <c:v>99.05</c:v>
                </c:pt>
                <c:pt idx="4">
                  <c:v>189.66</c:v>
                </c:pt>
                <c:pt idx="5">
                  <c:v>169.99</c:v>
                </c:pt>
                <c:pt idx="6">
                  <c:v>140.47999999999999</c:v>
                </c:pt>
                <c:pt idx="7">
                  <c:v>239.05</c:v>
                </c:pt>
                <c:pt idx="8">
                  <c:v>120.69</c:v>
                </c:pt>
                <c:pt idx="9">
                  <c:v>110.51</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30710784"/>
        <c:axId val="30724864"/>
      </c:barChart>
      <c:catAx>
        <c:axId val="3071078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0724864"/>
        <c:crossesAt val="0"/>
        <c:auto val="0"/>
        <c:lblAlgn val="ctr"/>
        <c:lblOffset val="100"/>
        <c:tickLblSkip val="1"/>
        <c:tickMarkSkip val="1"/>
        <c:noMultiLvlLbl val="0"/>
      </c:catAx>
      <c:valAx>
        <c:axId val="3072486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071078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29.757999999999999</c:v>
                </c:pt>
                <c:pt idx="1">
                  <c:v>47.722999999999999</c:v>
                </c:pt>
                <c:pt idx="2">
                  <c:v>25.122</c:v>
                </c:pt>
                <c:pt idx="3">
                  <c:v>680.19500000000005</c:v>
                </c:pt>
                <c:pt idx="4">
                  <c:v>351.02</c:v>
                </c:pt>
                <c:pt idx="5">
                  <c:v>24.43</c:v>
                </c:pt>
                <c:pt idx="6">
                  <c:v>287.35000000000002</c:v>
                </c:pt>
                <c:pt idx="7">
                  <c:v>10.247999999999999</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33211520"/>
        <c:axId val="3321305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29.757999999999999</c:v>
                </c:pt>
                <c:pt idx="1">
                  <c:v>47.722999999999999</c:v>
                </c:pt>
                <c:pt idx="2">
                  <c:v>25.122</c:v>
                </c:pt>
                <c:pt idx="3">
                  <c:v>680.19500000000005</c:v>
                </c:pt>
                <c:pt idx="4">
                  <c:v>351.02</c:v>
                </c:pt>
                <c:pt idx="5">
                  <c:v>24.43</c:v>
                </c:pt>
                <c:pt idx="6">
                  <c:v>287.35000000000002</c:v>
                </c:pt>
                <c:pt idx="7">
                  <c:v>10.247999999999999</c:v>
                </c:pt>
              </c:numCache>
            </c:numRef>
          </c:cat>
          <c:val>
            <c:numRef>
              <c:f>'RINCI 1'!$F$9:$F$16</c:f>
              <c:numCache>
                <c:formatCode>_(* #,##0.00_);_(* \(#,##0.00\);_(* "-"??_);_(@_)</c:formatCode>
                <c:ptCount val="8"/>
                <c:pt idx="0">
                  <c:v>55.85</c:v>
                </c:pt>
                <c:pt idx="1">
                  <c:v>75.94</c:v>
                </c:pt>
                <c:pt idx="2">
                  <c:v>462.47</c:v>
                </c:pt>
                <c:pt idx="3">
                  <c:v>86.97</c:v>
                </c:pt>
                <c:pt idx="4">
                  <c:v>135</c:v>
                </c:pt>
                <c:pt idx="5">
                  <c:v>70.33</c:v>
                </c:pt>
                <c:pt idx="6">
                  <c:v>184.23</c:v>
                </c:pt>
                <c:pt idx="7">
                  <c:v>229.02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29.757999999999999</c:v>
                </c:pt>
                <c:pt idx="1">
                  <c:v>47.722999999999999</c:v>
                </c:pt>
                <c:pt idx="2">
                  <c:v>25.122</c:v>
                </c:pt>
                <c:pt idx="3">
                  <c:v>680.19500000000005</c:v>
                </c:pt>
                <c:pt idx="4">
                  <c:v>351.02</c:v>
                </c:pt>
                <c:pt idx="5">
                  <c:v>24.43</c:v>
                </c:pt>
                <c:pt idx="6">
                  <c:v>287.35000000000002</c:v>
                </c:pt>
                <c:pt idx="7">
                  <c:v>10.247999999999999</c:v>
                </c:pt>
              </c:numCache>
            </c:numRef>
          </c:cat>
          <c:val>
            <c:numRef>
              <c:f>'RINCI 1'!$G$9:$G$16</c:f>
              <c:numCache>
                <c:formatCode>_(* #,##0.00_);_(* \(#,##0.00\);_(* "-"??_);_(@_)</c:formatCode>
                <c:ptCount val="8"/>
                <c:pt idx="0">
                  <c:v>55.53</c:v>
                </c:pt>
                <c:pt idx="1">
                  <c:v>77.3</c:v>
                </c:pt>
                <c:pt idx="2">
                  <c:v>461.75</c:v>
                </c:pt>
                <c:pt idx="3">
                  <c:v>89.94</c:v>
                </c:pt>
                <c:pt idx="4">
                  <c:v>135.72</c:v>
                </c:pt>
                <c:pt idx="5">
                  <c:v>66.78</c:v>
                </c:pt>
                <c:pt idx="6">
                  <c:v>174.71</c:v>
                </c:pt>
                <c:pt idx="7">
                  <c:v>229.92</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33223424"/>
        <c:axId val="33225344"/>
      </c:lineChart>
      <c:catAx>
        <c:axId val="3321152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3213056"/>
        <c:crossesAt val="10"/>
        <c:auto val="0"/>
        <c:lblAlgn val="ctr"/>
        <c:lblOffset val="100"/>
        <c:tickLblSkip val="1"/>
        <c:tickMarkSkip val="1"/>
        <c:noMultiLvlLbl val="0"/>
      </c:catAx>
      <c:valAx>
        <c:axId val="3321305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3211520"/>
        <c:crosses val="autoZero"/>
        <c:crossBetween val="between"/>
        <c:majorUnit val="100"/>
      </c:valAx>
      <c:catAx>
        <c:axId val="3322342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33225344"/>
        <c:crosses val="autoZero"/>
        <c:auto val="0"/>
        <c:lblAlgn val="ctr"/>
        <c:lblOffset val="100"/>
        <c:noMultiLvlLbl val="0"/>
      </c:catAx>
      <c:valAx>
        <c:axId val="3322534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322342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0645248"/>
        <c:axId val="30647040"/>
      </c:lineChart>
      <c:catAx>
        <c:axId val="3064524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0647040"/>
        <c:crosses val="autoZero"/>
        <c:auto val="0"/>
        <c:lblAlgn val="ctr"/>
        <c:lblOffset val="100"/>
        <c:tickLblSkip val="1"/>
        <c:tickMarkSkip val="1"/>
        <c:noMultiLvlLbl val="0"/>
      </c:catAx>
      <c:valAx>
        <c:axId val="3064704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064524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49996672"/>
        <c:axId val="149998208"/>
      </c:lineChart>
      <c:catAx>
        <c:axId val="149996672"/>
        <c:scaling>
          <c:orientation val="minMax"/>
        </c:scaling>
        <c:delete val="0"/>
        <c:axPos val="b"/>
        <c:numFmt formatCode="General" sourceLinked="0"/>
        <c:majorTickMark val="none"/>
        <c:minorTickMark val="none"/>
        <c:tickLblPos val="nextTo"/>
        <c:txPr>
          <a:bodyPr/>
          <a:lstStyle/>
          <a:p>
            <a:pPr>
              <a:defRPr lang="en-GB"/>
            </a:pPr>
            <a:endParaRPr lang="en-US"/>
          </a:p>
        </c:txPr>
        <c:crossAx val="149998208"/>
        <c:crosses val="autoZero"/>
        <c:auto val="1"/>
        <c:lblAlgn val="ctr"/>
        <c:lblOffset val="100"/>
        <c:noMultiLvlLbl val="0"/>
      </c:catAx>
      <c:valAx>
        <c:axId val="14999820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4999667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0825856"/>
        <c:axId val="30831744"/>
      </c:lineChart>
      <c:catAx>
        <c:axId val="3082585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0831744"/>
        <c:crosses val="autoZero"/>
        <c:auto val="0"/>
        <c:lblAlgn val="ctr"/>
        <c:lblOffset val="100"/>
        <c:tickLblSkip val="1"/>
        <c:tickMarkSkip val="1"/>
        <c:noMultiLvlLbl val="0"/>
      </c:catAx>
      <c:valAx>
        <c:axId val="3083174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082585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0497408"/>
        <c:axId val="30503296"/>
      </c:lineChart>
      <c:catAx>
        <c:axId val="304974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0503296"/>
        <c:crossesAt val="0"/>
        <c:auto val="0"/>
        <c:lblAlgn val="ctr"/>
        <c:lblOffset val="100"/>
        <c:tickMarkSkip val="1"/>
        <c:noMultiLvlLbl val="0"/>
      </c:catAx>
      <c:valAx>
        <c:axId val="3050329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04974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1145984"/>
        <c:axId val="31147520"/>
      </c:lineChart>
      <c:catAx>
        <c:axId val="3114598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1147520"/>
        <c:crosses val="autoZero"/>
        <c:auto val="0"/>
        <c:lblAlgn val="ctr"/>
        <c:lblOffset val="100"/>
        <c:tickLblSkip val="1"/>
        <c:tickMarkSkip val="1"/>
        <c:noMultiLvlLbl val="0"/>
      </c:catAx>
      <c:valAx>
        <c:axId val="3114752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114598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31539200"/>
        <c:axId val="31540736"/>
      </c:lineChart>
      <c:catAx>
        <c:axId val="315392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1540736"/>
        <c:crosses val="autoZero"/>
        <c:auto val="0"/>
        <c:lblAlgn val="ctr"/>
        <c:lblOffset val="100"/>
        <c:tickLblSkip val="1"/>
        <c:tickMarkSkip val="1"/>
        <c:noMultiLvlLbl val="0"/>
      </c:catAx>
      <c:valAx>
        <c:axId val="3154073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153920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31888896"/>
        <c:axId val="31890432"/>
      </c:lineChart>
      <c:catAx>
        <c:axId val="31888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1890432"/>
        <c:crossesAt val="0"/>
        <c:auto val="0"/>
        <c:lblAlgn val="ctr"/>
        <c:lblOffset val="100"/>
        <c:tickLblSkip val="1"/>
        <c:tickMarkSkip val="1"/>
        <c:noMultiLvlLbl val="0"/>
      </c:catAx>
      <c:valAx>
        <c:axId val="3189043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188889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1923584"/>
        <c:axId val="31933568"/>
      </c:lineChart>
      <c:catAx>
        <c:axId val="319235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1933568"/>
        <c:crossesAt val="0"/>
        <c:auto val="0"/>
        <c:lblAlgn val="ctr"/>
        <c:lblOffset val="100"/>
        <c:tickMarkSkip val="1"/>
        <c:noMultiLvlLbl val="0"/>
      </c:catAx>
      <c:valAx>
        <c:axId val="3193356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19235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1536.02</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c r="M8" s="210"/>
      <c r="N8" s="210"/>
      <c r="O8" s="211"/>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343</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III MARET ( 14 MARET S/D 20 MARET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339.39</v>
      </c>
      <c r="F11" s="90">
        <f>+UTAMA!H12</f>
        <v>7.68</v>
      </c>
      <c r="G11" s="87">
        <f>+UTAMA!I12</f>
        <v>339.54</v>
      </c>
      <c r="H11" s="90">
        <f>+UTAMA!J12</f>
        <v>7.8</v>
      </c>
      <c r="I11" s="91">
        <v>35162</v>
      </c>
      <c r="K11" s="125"/>
      <c r="L11" s="125"/>
      <c r="M11" s="125"/>
      <c r="N11" s="92"/>
    </row>
    <row r="12" spans="1:14" ht="15.75" x14ac:dyDescent="0.25">
      <c r="A12" s="126">
        <f>+A11+1</f>
        <v>2</v>
      </c>
      <c r="B12" s="127" t="s">
        <v>29</v>
      </c>
      <c r="C12" s="93">
        <f>+UTAMA!E13</f>
        <v>77.5</v>
      </c>
      <c r="D12" s="94">
        <f>+UTAMA!F13</f>
        <v>45.13</v>
      </c>
      <c r="E12" s="95">
        <f>+UTAMA!G13</f>
        <v>75.94</v>
      </c>
      <c r="F12" s="94">
        <f>+UTAMA!H13</f>
        <v>39.430999999999997</v>
      </c>
      <c r="G12" s="93">
        <f>+UTAMA!I13</f>
        <v>77.3</v>
      </c>
      <c r="H12" s="94">
        <f>+UTAMA!J13</f>
        <v>47.722999999999999</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55.85</v>
      </c>
      <c r="F13" s="94">
        <f>+UTAMA!H11</f>
        <v>31.722000000000001</v>
      </c>
      <c r="G13" s="93">
        <f>+UTAMA!I11</f>
        <v>55.53</v>
      </c>
      <c r="H13" s="94">
        <f>+UTAMA!J11</f>
        <v>29.757999999999999</v>
      </c>
      <c r="I13" s="96">
        <v>17481</v>
      </c>
      <c r="K13" s="125"/>
      <c r="L13" s="125"/>
      <c r="M13" s="125"/>
      <c r="N13" s="92"/>
    </row>
    <row r="14" spans="1:14" ht="15.75" x14ac:dyDescent="0.25">
      <c r="A14" s="126">
        <f t="shared" si="0"/>
        <v>4</v>
      </c>
      <c r="B14" s="127" t="s">
        <v>31</v>
      </c>
      <c r="C14" s="93">
        <f>+UTAMA!E14</f>
        <v>463.3</v>
      </c>
      <c r="D14" s="94">
        <f>+UTAMA!F14</f>
        <v>49.9</v>
      </c>
      <c r="E14" s="97">
        <f>+UTAMA!H14</f>
        <v>37.220999999999997</v>
      </c>
      <c r="F14" s="94">
        <f>+UTAMA!H14</f>
        <v>37.220999999999997</v>
      </c>
      <c r="G14" s="93">
        <f>+UTAMA!I14</f>
        <v>461.75</v>
      </c>
      <c r="H14" s="94">
        <f>+UTAMA!J14</f>
        <v>25.122</v>
      </c>
      <c r="I14" s="96">
        <v>19972</v>
      </c>
      <c r="K14" s="125"/>
      <c r="L14" s="125"/>
      <c r="M14" s="125"/>
      <c r="N14" s="92"/>
    </row>
    <row r="15" spans="1:14" ht="15.75" x14ac:dyDescent="0.25">
      <c r="A15" s="126">
        <f t="shared" si="0"/>
        <v>5</v>
      </c>
      <c r="B15" s="127" t="s">
        <v>32</v>
      </c>
      <c r="C15" s="93">
        <f>+UTAMA!E15</f>
        <v>207</v>
      </c>
      <c r="D15" s="94">
        <f>+UTAMA!F15</f>
        <v>9.5030000000000001</v>
      </c>
      <c r="E15" s="97">
        <f>+UTAMA!H15</f>
        <v>8.8480000000000008</v>
      </c>
      <c r="F15" s="94">
        <f>+UTAMA!H15</f>
        <v>8.8480000000000008</v>
      </c>
      <c r="G15" s="93">
        <f>+UTAMA!I15</f>
        <v>207.04</v>
      </c>
      <c r="H15" s="94">
        <f>+UTAMA!J15</f>
        <v>9.56</v>
      </c>
      <c r="I15" s="96">
        <v>4959</v>
      </c>
      <c r="K15" s="125"/>
      <c r="L15" s="125"/>
      <c r="M15" s="125"/>
      <c r="N15" s="92"/>
    </row>
    <row r="16" spans="1:14" ht="15.75" x14ac:dyDescent="0.25">
      <c r="A16" s="126">
        <f t="shared" si="0"/>
        <v>6</v>
      </c>
      <c r="B16" s="127" t="s">
        <v>33</v>
      </c>
      <c r="C16" s="93">
        <f>+UTAMA!E16</f>
        <v>320</v>
      </c>
      <c r="D16" s="94">
        <f>+UTAMA!F16</f>
        <v>5.1509999999999998</v>
      </c>
      <c r="E16" s="97">
        <f>+UTAMA!H16</f>
        <v>4.6500000000000004</v>
      </c>
      <c r="F16" s="94">
        <f>+UTAMA!H16</f>
        <v>4.6500000000000004</v>
      </c>
      <c r="G16" s="93">
        <f>+UTAMA!I16</f>
        <v>320.04000000000002</v>
      </c>
      <c r="H16" s="94">
        <f>+UTAMA!J16</f>
        <v>5.1710000000000003</v>
      </c>
      <c r="I16" s="96">
        <v>6052</v>
      </c>
      <c r="K16" s="125"/>
      <c r="L16" s="125"/>
      <c r="M16" s="125"/>
      <c r="N16" s="92"/>
    </row>
    <row r="17" spans="1:14" ht="15.75" x14ac:dyDescent="0.25">
      <c r="A17" s="126">
        <f t="shared" si="0"/>
        <v>7</v>
      </c>
      <c r="B17" s="127" t="s">
        <v>34</v>
      </c>
      <c r="C17" s="93">
        <f>+UTAMA!E17</f>
        <v>90</v>
      </c>
      <c r="D17" s="94">
        <f>+UTAMA!F17</f>
        <v>689.09100000000001</v>
      </c>
      <c r="E17" s="97">
        <f>+UTAMA!G17</f>
        <v>86.97</v>
      </c>
      <c r="F17" s="94">
        <f>+UTAMA!H17</f>
        <v>543.30799999999999</v>
      </c>
      <c r="G17" s="93">
        <f>+UTAMA!I17</f>
        <v>89.94</v>
      </c>
      <c r="H17" s="94">
        <f>+UTAMA!J17</f>
        <v>680.19500000000005</v>
      </c>
      <c r="I17" s="96">
        <v>59645</v>
      </c>
      <c r="K17" s="125"/>
      <c r="L17" s="125"/>
      <c r="M17" s="125"/>
      <c r="N17" s="92"/>
    </row>
    <row r="18" spans="1:14" ht="15.75" x14ac:dyDescent="0.25">
      <c r="A18" s="126">
        <f t="shared" si="0"/>
        <v>8</v>
      </c>
      <c r="B18" s="127" t="s">
        <v>35</v>
      </c>
      <c r="C18" s="93">
        <f>+UTAMA!E18</f>
        <v>120.5</v>
      </c>
      <c r="D18" s="94">
        <f>+UTAMA!F18</f>
        <v>2.0920000000000001</v>
      </c>
      <c r="E18" s="97">
        <f>+UTAMA!G18</f>
        <v>118.9</v>
      </c>
      <c r="F18" s="94">
        <f>+UTAMA!H18</f>
        <v>1.1040000000000001</v>
      </c>
      <c r="G18" s="93">
        <f>+UTAMA!I18</f>
        <v>119.9</v>
      </c>
      <c r="H18" s="94">
        <f>+UTAMA!J18</f>
        <v>1.528</v>
      </c>
      <c r="I18" s="98">
        <v>923</v>
      </c>
      <c r="K18" s="125"/>
      <c r="L18" s="125"/>
      <c r="M18" s="128"/>
      <c r="N18" s="92"/>
    </row>
    <row r="19" spans="1:14" ht="15.75" x14ac:dyDescent="0.25">
      <c r="A19" s="126">
        <f t="shared" si="0"/>
        <v>9</v>
      </c>
      <c r="B19" s="127" t="s">
        <v>36</v>
      </c>
      <c r="C19" s="93">
        <f>+UTAMA!E19</f>
        <v>120.8</v>
      </c>
      <c r="D19" s="94">
        <f>+UTAMA!F19</f>
        <v>2.3530000000000002</v>
      </c>
      <c r="E19" s="97">
        <f>+UTAMA!G19</f>
        <v>117.08</v>
      </c>
      <c r="F19" s="94">
        <f>+UTAMA!H19</f>
        <v>0.40100000000000002</v>
      </c>
      <c r="G19" s="93">
        <f>+UTAMA!I19</f>
        <v>120.03</v>
      </c>
      <c r="H19" s="94">
        <f>+UTAMA!J19</f>
        <v>1.4359999999999999</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2.016</v>
      </c>
      <c r="G20" s="93">
        <f>+UTAMA!I20</f>
        <v>46.52</v>
      </c>
      <c r="H20" s="94">
        <f>+UTAMA!J20</f>
        <v>4.218</v>
      </c>
      <c r="I20" s="100">
        <v>440</v>
      </c>
      <c r="K20" s="125"/>
      <c r="L20" s="125"/>
      <c r="M20" s="128"/>
      <c r="N20" s="92"/>
    </row>
    <row r="21" spans="1:14" ht="15.75" x14ac:dyDescent="0.25">
      <c r="A21" s="126">
        <f t="shared" si="0"/>
        <v>11</v>
      </c>
      <c r="B21" s="127" t="s">
        <v>39</v>
      </c>
      <c r="C21" s="93">
        <f>+UTAMA!E21</f>
        <v>51.5</v>
      </c>
      <c r="D21" s="94">
        <f>+UTAMA!F21</f>
        <v>2.4159999999999999</v>
      </c>
      <c r="E21" s="97">
        <f>+UTAMA!G21</f>
        <v>48.24</v>
      </c>
      <c r="F21" s="94">
        <f>+UTAMA!H21</f>
        <v>1.3160000000000001</v>
      </c>
      <c r="G21" s="93">
        <f>+UTAMA!I21</f>
        <v>51.5</v>
      </c>
      <c r="H21" s="94">
        <f>+UTAMA!J21</f>
        <v>2.5779999999999998</v>
      </c>
      <c r="I21" s="100">
        <v>775</v>
      </c>
      <c r="K21" s="125"/>
      <c r="L21" s="125"/>
      <c r="M21" s="128"/>
      <c r="N21" s="92"/>
    </row>
    <row r="22" spans="1:14" ht="15.75" x14ac:dyDescent="0.25">
      <c r="A22" s="126">
        <f t="shared" si="0"/>
        <v>12</v>
      </c>
      <c r="B22" s="127" t="s">
        <v>40</v>
      </c>
      <c r="C22" s="93">
        <f>+UTAMA!E22</f>
        <v>81</v>
      </c>
      <c r="D22" s="94">
        <f>+UTAMA!F22</f>
        <v>1.093</v>
      </c>
      <c r="E22" s="97">
        <f>+UTAMA!G22</f>
        <v>78.33</v>
      </c>
      <c r="F22" s="94">
        <f>+UTAMA!H22</f>
        <v>0.79800000000000004</v>
      </c>
      <c r="G22" s="93">
        <f>+UTAMA!I22</f>
        <v>78.61</v>
      </c>
      <c r="H22" s="94">
        <f>+UTAMA!J22</f>
        <v>1.0229999999999999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82.21</v>
      </c>
      <c r="F23" s="94">
        <f>+UTAMA!H23</f>
        <v>0.33100000000000002</v>
      </c>
      <c r="G23" s="93">
        <f>+UTAMA!I23</f>
        <v>81.25</v>
      </c>
      <c r="H23" s="94">
        <f>+UTAMA!J23</f>
        <v>4.3999999999999997E-2</v>
      </c>
      <c r="I23" s="96">
        <v>482</v>
      </c>
      <c r="K23" s="125"/>
      <c r="L23" s="125"/>
      <c r="M23" s="125"/>
      <c r="N23" s="92"/>
    </row>
    <row r="24" spans="1:14" ht="15.75" x14ac:dyDescent="0.25">
      <c r="A24" s="126">
        <f t="shared" si="0"/>
        <v>14</v>
      </c>
      <c r="B24" s="127" t="s">
        <v>42</v>
      </c>
      <c r="C24" s="93">
        <f>+UTAMA!E24</f>
        <v>69.95</v>
      </c>
      <c r="D24" s="94">
        <f>+UTAMA!F24</f>
        <v>0.25</v>
      </c>
      <c r="E24" s="99">
        <f>+UTAMA!G24</f>
        <v>63.31</v>
      </c>
      <c r="F24" s="94">
        <f>+UTAMA!H24</f>
        <v>0.192</v>
      </c>
      <c r="G24" s="93">
        <f>+UTAMA!I24</f>
        <v>63.62</v>
      </c>
      <c r="H24" s="94">
        <f>+UTAMA!J24</f>
        <v>0.20699999999999999</v>
      </c>
      <c r="I24" s="96">
        <v>366</v>
      </c>
      <c r="K24" s="125"/>
      <c r="L24" s="125"/>
      <c r="M24" s="125"/>
      <c r="N24" s="101"/>
    </row>
    <row r="25" spans="1:14" ht="15.75" x14ac:dyDescent="0.25">
      <c r="A25" s="126">
        <f t="shared" si="0"/>
        <v>15</v>
      </c>
      <c r="B25" s="127" t="s">
        <v>43</v>
      </c>
      <c r="C25" s="93">
        <f>+UTAMA!E25</f>
        <v>48.2</v>
      </c>
      <c r="D25" s="94">
        <f>+UTAMA!F25</f>
        <v>0.38500000000000001</v>
      </c>
      <c r="E25" s="97">
        <f>+UTAMA!G25</f>
        <v>44.98</v>
      </c>
      <c r="F25" s="94">
        <f>+UTAMA!H25</f>
        <v>9.8000000000000004E-2</v>
      </c>
      <c r="G25" s="93">
        <f>+UTAMA!I25</f>
        <v>46.83</v>
      </c>
      <c r="H25" s="94">
        <f>+UTAMA!J25</f>
        <v>0.37</v>
      </c>
      <c r="I25" s="100">
        <v>260</v>
      </c>
      <c r="K25" s="125"/>
      <c r="L25" s="125"/>
      <c r="M25" s="125"/>
      <c r="N25" s="92"/>
    </row>
    <row r="26" spans="1:14" ht="15.75" x14ac:dyDescent="0.25">
      <c r="A26" s="126">
        <f t="shared" si="0"/>
        <v>16</v>
      </c>
      <c r="B26" s="127" t="s">
        <v>44</v>
      </c>
      <c r="C26" s="93">
        <f>+UTAMA!E26</f>
        <v>136</v>
      </c>
      <c r="D26" s="94">
        <f>+UTAMA!F26</f>
        <v>398.69</v>
      </c>
      <c r="E26" s="97">
        <f>+UTAMA!G26</f>
        <v>135</v>
      </c>
      <c r="F26" s="94">
        <f>+UTAMA!H26</f>
        <v>313.15899999999999</v>
      </c>
      <c r="G26" s="93">
        <f>+UTAMA!I26</f>
        <v>135.72</v>
      </c>
      <c r="H26" s="94">
        <f>+UTAMA!J26</f>
        <v>351.02</v>
      </c>
      <c r="I26" s="96">
        <v>28109</v>
      </c>
      <c r="K26" s="125"/>
      <c r="L26" s="125"/>
      <c r="M26" s="125"/>
      <c r="N26" s="102"/>
    </row>
    <row r="27" spans="1:14" ht="15.75" x14ac:dyDescent="0.25">
      <c r="A27" s="126">
        <f t="shared" si="0"/>
        <v>17</v>
      </c>
      <c r="B27" s="127" t="s">
        <v>45</v>
      </c>
      <c r="C27" s="93">
        <f>+UTAMA!E27</f>
        <v>113.5</v>
      </c>
      <c r="D27" s="94">
        <f>+UTAMA!F27</f>
        <v>2.3410000000000002</v>
      </c>
      <c r="E27" s="97">
        <f>+UTAMA!G27</f>
        <v>113</v>
      </c>
      <c r="F27" s="94">
        <f>+UTAMA!H27</f>
        <v>2.1120000000000001</v>
      </c>
      <c r="G27" s="93">
        <f>+UTAMA!I27</f>
        <v>112.6</v>
      </c>
      <c r="H27" s="94">
        <f>+UTAMA!J27</f>
        <v>1.94</v>
      </c>
      <c r="I27" s="96">
        <v>874</v>
      </c>
      <c r="K27" s="125"/>
      <c r="L27" s="125"/>
      <c r="M27" s="125"/>
      <c r="N27" s="102"/>
    </row>
    <row r="28" spans="1:14" ht="15.75" x14ac:dyDescent="0.25">
      <c r="A28" s="126">
        <f t="shared" si="0"/>
        <v>18</v>
      </c>
      <c r="B28" s="127" t="s">
        <v>46</v>
      </c>
      <c r="C28" s="93">
        <f>+UTAMA!E28</f>
        <v>225.4</v>
      </c>
      <c r="D28" s="94">
        <f>+UTAMA!F28</f>
        <v>0.32300000000000001</v>
      </c>
      <c r="E28" s="97">
        <f>+UTAMA!G28</f>
        <v>203.5</v>
      </c>
      <c r="F28" s="94">
        <f>+UTAMA!H28</f>
        <v>0.27300000000000002</v>
      </c>
      <c r="G28" s="93">
        <f>+UTAMA!I28</f>
        <v>203.4</v>
      </c>
      <c r="H28" s="94">
        <f>+UTAMA!J28</f>
        <v>0.26</v>
      </c>
      <c r="I28" s="100">
        <v>392</v>
      </c>
      <c r="K28" s="125"/>
      <c r="L28" s="125"/>
      <c r="M28" s="125"/>
      <c r="N28" s="92"/>
    </row>
    <row r="29" spans="1:14" ht="15.75" x14ac:dyDescent="0.25">
      <c r="A29" s="126">
        <f t="shared" si="0"/>
        <v>19</v>
      </c>
      <c r="B29" s="127" t="s">
        <v>47</v>
      </c>
      <c r="C29" s="93">
        <f>+UTAMA!E29</f>
        <v>224</v>
      </c>
      <c r="D29" s="94">
        <f>+UTAMA!F29</f>
        <v>0.42899999999999999</v>
      </c>
      <c r="E29" s="97">
        <f>+UTAMA!G29</f>
        <v>223.5</v>
      </c>
      <c r="F29" s="94">
        <f>+UTAMA!H29</f>
        <v>0.38100000000000001</v>
      </c>
      <c r="G29" s="93">
        <f>+UTAMA!I29</f>
        <v>223.74</v>
      </c>
      <c r="H29" s="94">
        <f>+UTAMA!J29</f>
        <v>0.4</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196.03</v>
      </c>
      <c r="H30" s="94">
        <f>+UTAMA!J30</f>
        <v>0.77700000000000002</v>
      </c>
      <c r="I30" s="100">
        <v>700</v>
      </c>
      <c r="K30" s="125"/>
      <c r="L30" s="125"/>
      <c r="M30" s="125"/>
      <c r="N30" s="92"/>
    </row>
    <row r="31" spans="1:14" ht="15.75" x14ac:dyDescent="0.25">
      <c r="A31" s="126">
        <f t="shared" si="0"/>
        <v>21</v>
      </c>
      <c r="B31" s="127" t="s">
        <v>49</v>
      </c>
      <c r="C31" s="93">
        <f>+UTAMA!E31</f>
        <v>174</v>
      </c>
      <c r="D31" s="94">
        <f>+UTAMA!F31</f>
        <v>0.22600000000000001</v>
      </c>
      <c r="E31" s="99">
        <f>+UTAMA!G31</f>
        <v>170.57</v>
      </c>
      <c r="F31" s="94">
        <f>+UTAMA!H31</f>
        <v>0.16300000000000001</v>
      </c>
      <c r="G31" s="93">
        <f>+UTAMA!I31</f>
        <v>166</v>
      </c>
      <c r="H31" s="94" t="str">
        <f>+UTAMA!J31</f>
        <v>-</v>
      </c>
      <c r="I31" s="100">
        <v>87</v>
      </c>
      <c r="K31" s="125"/>
      <c r="L31" s="125"/>
      <c r="M31" s="125"/>
      <c r="N31" s="102"/>
    </row>
    <row r="32" spans="1:14" ht="15.75" x14ac:dyDescent="0.25">
      <c r="A32" s="126">
        <f t="shared" si="0"/>
        <v>22</v>
      </c>
      <c r="B32" s="127" t="s">
        <v>50</v>
      </c>
      <c r="C32" s="93">
        <f>+UTAMA!E32</f>
        <v>229.1</v>
      </c>
      <c r="D32" s="94">
        <f>+UTAMA!F32</f>
        <v>0.71399999999999997</v>
      </c>
      <c r="E32" s="97">
        <f>+UTAMA!G32</f>
        <v>228</v>
      </c>
      <c r="F32" s="94">
        <f>+UTAMA!H32</f>
        <v>0.621</v>
      </c>
      <c r="G32" s="93">
        <f>+UTAMA!I32</f>
        <v>228.8</v>
      </c>
      <c r="H32" s="94">
        <f>+UTAMA!J32</f>
        <v>0.7</v>
      </c>
      <c r="I32" s="98">
        <v>354</v>
      </c>
      <c r="K32" s="125"/>
      <c r="L32" s="125"/>
      <c r="M32" s="125"/>
      <c r="N32" s="92"/>
    </row>
    <row r="33" spans="1:14" ht="15.75" x14ac:dyDescent="0.25">
      <c r="A33" s="126">
        <f t="shared" si="0"/>
        <v>23</v>
      </c>
      <c r="B33" s="127" t="s">
        <v>51</v>
      </c>
      <c r="C33" s="93">
        <f>+UTAMA!E33</f>
        <v>249</v>
      </c>
      <c r="D33" s="94">
        <f>+UTAMA!F33</f>
        <v>1.708</v>
      </c>
      <c r="E33" s="97">
        <f>+UTAMA!G33</f>
        <v>248.2</v>
      </c>
      <c r="F33" s="94">
        <f>+UTAMA!H33</f>
        <v>1.5669999999999999</v>
      </c>
      <c r="G33" s="93">
        <f>+UTAMA!I33</f>
        <v>248.71</v>
      </c>
      <c r="H33" s="94">
        <f>+UTAMA!J33</f>
        <v>1.71</v>
      </c>
      <c r="I33" s="100">
        <v>637</v>
      </c>
      <c r="K33" s="125"/>
      <c r="L33" s="125"/>
      <c r="M33" s="125"/>
      <c r="N33" s="92"/>
    </row>
    <row r="34" spans="1:14" ht="15.75" x14ac:dyDescent="0.25">
      <c r="A34" s="126">
        <f t="shared" si="0"/>
        <v>24</v>
      </c>
      <c r="B34" s="127" t="s">
        <v>52</v>
      </c>
      <c r="C34" s="93">
        <f>+UTAMA!E34</f>
        <v>164.75</v>
      </c>
      <c r="D34" s="94">
        <f>+UTAMA!F34</f>
        <v>4.3979999999999997</v>
      </c>
      <c r="E34" s="97">
        <f>+UTAMA!G34</f>
        <v>149.11000000000001</v>
      </c>
      <c r="F34" s="94">
        <f>+UTAMA!H34</f>
        <v>2.6539999999999999</v>
      </c>
      <c r="G34" s="93">
        <f>+UTAMA!I34</f>
        <v>146.26</v>
      </c>
      <c r="H34" s="94">
        <f>+UTAMA!J34</f>
        <v>1.26</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204.91</v>
      </c>
      <c r="H35" s="94">
        <f>+UTAMA!J35</f>
        <v>3.26</v>
      </c>
      <c r="I35" s="100">
        <v>2410</v>
      </c>
      <c r="K35" s="125"/>
      <c r="L35" s="125"/>
      <c r="M35" s="125"/>
      <c r="N35" s="102"/>
    </row>
    <row r="36" spans="1:14" ht="15.75" x14ac:dyDescent="0.25">
      <c r="A36" s="126">
        <f t="shared" si="0"/>
        <v>26</v>
      </c>
      <c r="B36" s="127" t="s">
        <v>54</v>
      </c>
      <c r="C36" s="93">
        <f>+UTAMA!E36</f>
        <v>325.56</v>
      </c>
      <c r="D36" s="94">
        <f>+UTAMA!F36</f>
        <v>0.64100000000000001</v>
      </c>
      <c r="E36" s="103">
        <f>+UTAMA!G36</f>
        <v>325.3</v>
      </c>
      <c r="F36" s="94">
        <f>+UTAMA!H36</f>
        <v>0.622</v>
      </c>
      <c r="G36" s="93">
        <f>+UTAMA!I36</f>
        <v>325.10000000000002</v>
      </c>
      <c r="H36" s="94">
        <f>+UTAMA!J36</f>
        <v>0.6</v>
      </c>
      <c r="I36" s="100">
        <v>1370</v>
      </c>
      <c r="K36" s="125"/>
      <c r="L36" s="125"/>
      <c r="M36" s="125"/>
      <c r="N36" s="102"/>
    </row>
    <row r="37" spans="1:14" ht="15.75" x14ac:dyDescent="0.25">
      <c r="A37" s="126">
        <f t="shared" si="0"/>
        <v>27</v>
      </c>
      <c r="B37" s="127" t="s">
        <v>55</v>
      </c>
      <c r="C37" s="93">
        <f>+UTAMA!E37</f>
        <v>129.19999999999999</v>
      </c>
      <c r="D37" s="94">
        <f>+UTAMA!F37</f>
        <v>0.71</v>
      </c>
      <c r="E37" s="103">
        <f>+UTAMA!G37</f>
        <v>129</v>
      </c>
      <c r="F37" s="94">
        <f>+UTAMA!H37</f>
        <v>0.68300000000000005</v>
      </c>
      <c r="G37" s="93">
        <f>+UTAMA!I37</f>
        <v>129.19999999999999</v>
      </c>
      <c r="H37" s="94">
        <f>+UTAMA!J37</f>
        <v>0.71</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282.89999999999998</v>
      </c>
      <c r="H38" s="94">
        <f>+UTAMA!J38</f>
        <v>0.48</v>
      </c>
      <c r="I38" s="100">
        <v>268</v>
      </c>
      <c r="K38" s="125"/>
      <c r="L38" s="125"/>
      <c r="M38" s="125"/>
      <c r="N38" s="101"/>
    </row>
    <row r="39" spans="1:14" ht="15.75" x14ac:dyDescent="0.25">
      <c r="A39" s="126">
        <f t="shared" si="0"/>
        <v>29</v>
      </c>
      <c r="B39" s="127" t="s">
        <v>57</v>
      </c>
      <c r="C39" s="93">
        <f>+UTAMA!E39</f>
        <v>99</v>
      </c>
      <c r="D39" s="94">
        <f>+UTAMA!F39</f>
        <v>2.8849999999999998</v>
      </c>
      <c r="E39" s="103">
        <f>+UTAMA!G39</f>
        <v>98.46</v>
      </c>
      <c r="F39" s="94">
        <f>+UTAMA!H39</f>
        <v>2.4929999999999999</v>
      </c>
      <c r="G39" s="93">
        <f>+UTAMA!I39</f>
        <v>99.05</v>
      </c>
      <c r="H39" s="94">
        <f>+UTAMA!J39</f>
        <v>2.93</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189.66</v>
      </c>
      <c r="H40" s="94">
        <f>+UTAMA!J40</f>
        <v>0.08</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169.99</v>
      </c>
      <c r="H41" s="94">
        <f>+UTAMA!J41</f>
        <v>7.0000000000000007E-2</v>
      </c>
      <c r="I41" s="100">
        <v>395</v>
      </c>
      <c r="K41" s="125"/>
      <c r="L41" s="125"/>
      <c r="M41" s="125"/>
      <c r="N41" s="102"/>
    </row>
    <row r="42" spans="1:14" ht="15.75" x14ac:dyDescent="0.25">
      <c r="A42" s="126">
        <f t="shared" si="0"/>
        <v>32</v>
      </c>
      <c r="B42" s="127" t="s">
        <v>60</v>
      </c>
      <c r="C42" s="93">
        <f>+UTAMA!E42</f>
        <v>142.6</v>
      </c>
      <c r="D42" s="94">
        <f>+UTAMA!F42</f>
        <v>9.8740000000000006</v>
      </c>
      <c r="E42" s="103">
        <f>+UTAMA!G42</f>
        <v>139.58000000000001</v>
      </c>
      <c r="F42" s="94">
        <f>+UTAMA!H42</f>
        <v>7.1310000000000002</v>
      </c>
      <c r="G42" s="93">
        <f>+UTAMA!I42</f>
        <v>140.47999999999999</v>
      </c>
      <c r="H42" s="94">
        <f>+UTAMA!J42</f>
        <v>9.6999999999999993</v>
      </c>
      <c r="I42" s="96">
        <v>1570</v>
      </c>
      <c r="K42" s="125"/>
      <c r="L42" s="125"/>
      <c r="M42" s="125"/>
      <c r="N42" s="102"/>
    </row>
    <row r="43" spans="1:14" ht="15.75" x14ac:dyDescent="0.25">
      <c r="A43" s="126">
        <f t="shared" si="0"/>
        <v>33</v>
      </c>
      <c r="B43" s="127" t="s">
        <v>61</v>
      </c>
      <c r="C43" s="93">
        <f>+UTAMA!E43</f>
        <v>239.5</v>
      </c>
      <c r="D43" s="94">
        <f>+UTAMA!F43</f>
        <v>2.6720000000000002</v>
      </c>
      <c r="E43" s="103">
        <f>+UTAMA!G43</f>
        <v>238</v>
      </c>
      <c r="F43" s="94">
        <f>+UTAMA!H43</f>
        <v>1.86</v>
      </c>
      <c r="G43" s="93">
        <f>+UTAMA!I43</f>
        <v>239.05</v>
      </c>
      <c r="H43" s="94">
        <f>+UTAMA!J43</f>
        <v>2.4300000000000002</v>
      </c>
      <c r="I43" s="96">
        <v>1353</v>
      </c>
      <c r="K43" s="125"/>
      <c r="L43" s="125"/>
      <c r="M43" s="125"/>
      <c r="N43" s="102"/>
    </row>
    <row r="44" spans="1:14" ht="15.75" x14ac:dyDescent="0.25">
      <c r="A44" s="126">
        <f t="shared" si="0"/>
        <v>34</v>
      </c>
      <c r="B44" s="127" t="s">
        <v>62</v>
      </c>
      <c r="C44" s="93">
        <f>+UTAMA!E44</f>
        <v>120.5</v>
      </c>
      <c r="D44" s="94">
        <f>+UTAMA!F44</f>
        <v>4.1539999999999999</v>
      </c>
      <c r="E44" s="103">
        <f>+UTAMA!G44</f>
        <v>120.25</v>
      </c>
      <c r="F44" s="94">
        <f>+UTAMA!H44</f>
        <v>3.2050000000000001</v>
      </c>
      <c r="G44" s="93">
        <f>+UTAMA!I44</f>
        <v>120.69</v>
      </c>
      <c r="H44" s="94">
        <f>+UTAMA!J44</f>
        <v>4.04</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110.51</v>
      </c>
      <c r="H45" s="94">
        <f>+UTAMA!J45</f>
        <v>2.66</v>
      </c>
      <c r="I45" s="100">
        <v>43</v>
      </c>
      <c r="K45" s="125"/>
      <c r="L45" s="125"/>
      <c r="M45" s="125"/>
      <c r="N45" s="102"/>
    </row>
    <row r="46" spans="1:14" ht="15.75" x14ac:dyDescent="0.25">
      <c r="A46" s="126">
        <f t="shared" si="0"/>
        <v>36</v>
      </c>
      <c r="B46" s="127" t="s">
        <v>64</v>
      </c>
      <c r="C46" s="93">
        <f>+UTAMA!E46</f>
        <v>72</v>
      </c>
      <c r="D46" s="94">
        <f>+UTAMA!F46</f>
        <v>38.036000000000001</v>
      </c>
      <c r="E46" s="103">
        <f>+UTAMA!G46</f>
        <v>70.33</v>
      </c>
      <c r="F46" s="94">
        <f>+UTAMA!H46</f>
        <v>31.55</v>
      </c>
      <c r="G46" s="93">
        <f>+UTAMA!I46</f>
        <v>66.78</v>
      </c>
      <c r="H46" s="94">
        <f>+UTAMA!J46</f>
        <v>24.43</v>
      </c>
      <c r="I46" s="96">
        <v>6485</v>
      </c>
      <c r="K46" s="125"/>
      <c r="L46" s="125"/>
      <c r="M46" s="125"/>
      <c r="N46" s="102"/>
    </row>
    <row r="47" spans="1:14" ht="15.75" x14ac:dyDescent="0.25">
      <c r="A47" s="126">
        <f t="shared" si="0"/>
        <v>37</v>
      </c>
      <c r="B47" s="127" t="s">
        <v>65</v>
      </c>
      <c r="C47" s="93">
        <f>+UTAMA!E47</f>
        <v>185</v>
      </c>
      <c r="D47" s="94">
        <f>+UTAMA!F47</f>
        <v>388.72199999999998</v>
      </c>
      <c r="E47" s="103">
        <f>+UTAMA!G47</f>
        <v>184.23</v>
      </c>
      <c r="F47" s="94">
        <f>+UTAMA!H47</f>
        <v>359.94</v>
      </c>
      <c r="G47" s="93">
        <f>+UTAMA!I47</f>
        <v>174.71</v>
      </c>
      <c r="H47" s="94">
        <f>+UTAMA!J47</f>
        <v>287.35000000000002</v>
      </c>
      <c r="I47" s="96">
        <v>31109</v>
      </c>
      <c r="K47" s="125"/>
      <c r="L47" s="125"/>
      <c r="M47" s="125"/>
      <c r="N47" s="102"/>
    </row>
    <row r="48" spans="1:14" ht="16.5" thickBot="1" x14ac:dyDescent="0.3">
      <c r="A48" s="129">
        <f t="shared" si="0"/>
        <v>38</v>
      </c>
      <c r="B48" s="130" t="s">
        <v>66</v>
      </c>
      <c r="C48" s="93">
        <f>+UTAMA!E48</f>
        <v>231</v>
      </c>
      <c r="D48" s="94">
        <f>+UTAMA!F48</f>
        <v>23.24</v>
      </c>
      <c r="E48" s="103">
        <f>+UTAMA!G48</f>
        <v>229.02</v>
      </c>
      <c r="F48" s="94">
        <f>+UTAMA!H48</f>
        <v>5.734</v>
      </c>
      <c r="G48" s="93">
        <f>+UTAMA!I48</f>
        <v>229.92</v>
      </c>
      <c r="H48" s="94">
        <f>+UTAMA!J48</f>
        <v>10.247999999999999</v>
      </c>
      <c r="I48" s="104">
        <v>8400</v>
      </c>
      <c r="K48" s="125"/>
      <c r="L48" s="125"/>
      <c r="M48" s="125"/>
      <c r="N48" s="92"/>
    </row>
    <row r="49" spans="1:14" ht="16.5" thickBot="1" x14ac:dyDescent="0.3">
      <c r="A49" s="131"/>
      <c r="B49" s="121" t="s">
        <v>67</v>
      </c>
      <c r="C49" s="105"/>
      <c r="D49" s="132">
        <f>SUM(D11:D48)</f>
        <v>1738.5575980000001</v>
      </c>
      <c r="E49" s="105"/>
      <c r="F49" s="132">
        <f>SUM(F11:F48)</f>
        <v>1420.0819999999999</v>
      </c>
      <c r="G49" s="105"/>
      <c r="H49" s="132">
        <f>SUM(H11:H48)</f>
        <v>1523.7880000000005</v>
      </c>
      <c r="I49" s="133">
        <f>SUM(I11:I48)</f>
        <v>270584</v>
      </c>
      <c r="K49" s="125"/>
      <c r="L49" s="125"/>
      <c r="M49" s="125"/>
      <c r="N49" s="92"/>
    </row>
    <row r="50" spans="1:14" ht="16.5" thickBot="1" x14ac:dyDescent="0.3">
      <c r="A50" s="134" t="s">
        <v>68</v>
      </c>
      <c r="B50" s="121" t="s">
        <v>69</v>
      </c>
      <c r="C50" s="105"/>
      <c r="D50" s="132"/>
      <c r="E50" s="135"/>
      <c r="F50" s="136">
        <v>1</v>
      </c>
      <c r="G50" s="105"/>
      <c r="H50" s="136">
        <f>+H49/F49</f>
        <v>1.073028177246103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39"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39" t="s">
        <v>272</v>
      </c>
      <c r="C2" s="839"/>
      <c r="D2" s="839"/>
      <c r="E2" s="839"/>
      <c r="F2" s="839"/>
      <c r="G2" s="839"/>
      <c r="H2" s="839"/>
      <c r="I2" s="839"/>
      <c r="J2" s="839"/>
      <c r="K2" s="839"/>
      <c r="L2" s="839"/>
      <c r="N2" s="866" t="s">
        <v>282</v>
      </c>
      <c r="O2" s="867"/>
      <c r="P2" s="867"/>
      <c r="Q2" s="867"/>
      <c r="R2" s="867"/>
      <c r="S2" s="867"/>
      <c r="T2" s="867"/>
      <c r="U2" s="867"/>
      <c r="V2" s="867"/>
      <c r="W2" s="867"/>
      <c r="X2" s="867"/>
      <c r="Y2" s="867"/>
      <c r="Z2" s="868"/>
      <c r="AB2" s="852" t="s">
        <v>294</v>
      </c>
      <c r="AC2" s="852"/>
      <c r="AD2" s="852"/>
      <c r="AE2" s="852"/>
      <c r="AF2" s="852"/>
      <c r="AG2" s="852"/>
      <c r="AH2" s="852"/>
      <c r="AI2" s="852"/>
      <c r="AJ2" s="852"/>
      <c r="AK2" s="852"/>
      <c r="AL2" s="852"/>
      <c r="AM2" s="852"/>
      <c r="AN2" s="852"/>
      <c r="AO2"/>
      <c r="AP2"/>
      <c r="AQ2" s="853"/>
      <c r="AR2" s="853"/>
      <c r="AS2" s="853"/>
      <c r="AT2"/>
      <c r="AU2"/>
      <c r="AV2"/>
      <c r="AW2"/>
      <c r="AX2"/>
      <c r="AY2"/>
      <c r="AZ2"/>
      <c r="BA2"/>
      <c r="BB2"/>
      <c r="BC2"/>
      <c r="BD2"/>
      <c r="BE2"/>
    </row>
    <row r="3" spans="2:57" ht="17.25" customHeight="1" x14ac:dyDescent="0.3">
      <c r="B3" s="839"/>
      <c r="C3" s="839"/>
      <c r="D3" s="839"/>
      <c r="E3" s="839"/>
      <c r="F3" s="839"/>
      <c r="G3" s="839"/>
      <c r="H3" s="839"/>
      <c r="I3" s="839"/>
      <c r="J3" s="839"/>
      <c r="K3" s="839"/>
      <c r="L3" s="839"/>
      <c r="N3" s="864" t="s">
        <v>209</v>
      </c>
      <c r="O3" s="819"/>
      <c r="P3" s="819"/>
      <c r="Q3" s="819"/>
      <c r="R3" s="819"/>
      <c r="S3" s="819"/>
      <c r="T3" s="819"/>
      <c r="U3" s="819"/>
      <c r="V3" s="819"/>
      <c r="W3" s="819"/>
      <c r="X3" s="819"/>
      <c r="Y3" s="819"/>
      <c r="Z3" s="865"/>
      <c r="AB3" s="852" t="s">
        <v>339</v>
      </c>
      <c r="AC3" s="852"/>
      <c r="AD3" s="852"/>
      <c r="AE3" s="852"/>
      <c r="AF3" s="852"/>
      <c r="AG3" s="852"/>
      <c r="AH3" s="852"/>
      <c r="AI3" s="852"/>
      <c r="AJ3" s="852"/>
      <c r="AK3" s="852"/>
      <c r="AL3" s="852"/>
      <c r="AM3" s="852"/>
      <c r="AN3" s="852"/>
      <c r="AO3"/>
      <c r="AP3"/>
      <c r="AQ3"/>
      <c r="AR3"/>
      <c r="AS3"/>
      <c r="AT3"/>
      <c r="AU3"/>
      <c r="AV3"/>
      <c r="AW3"/>
      <c r="AX3"/>
      <c r="AY3"/>
      <c r="AZ3"/>
      <c r="BA3"/>
      <c r="BB3"/>
      <c r="BC3"/>
      <c r="BD3"/>
      <c r="BE3"/>
    </row>
    <row r="4" spans="2:57" ht="22.5" customHeight="1" thickBot="1" x14ac:dyDescent="0.25">
      <c r="B4" s="838" t="s">
        <v>340</v>
      </c>
      <c r="C4" s="838"/>
      <c r="D4" s="838"/>
      <c r="E4" s="838"/>
      <c r="F4" s="838"/>
      <c r="G4" s="838"/>
      <c r="H4" s="838"/>
      <c r="I4" s="838"/>
      <c r="J4" s="838"/>
      <c r="K4" s="838"/>
      <c r="L4" s="83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69" t="s">
        <v>131</v>
      </c>
      <c r="O5" s="829" t="s">
        <v>132</v>
      </c>
      <c r="P5" s="829" t="s">
        <v>133</v>
      </c>
      <c r="Q5" s="829" t="s">
        <v>134</v>
      </c>
      <c r="R5" s="829" t="s">
        <v>135</v>
      </c>
      <c r="S5" s="829" t="s">
        <v>117</v>
      </c>
      <c r="T5" s="829" t="s">
        <v>136</v>
      </c>
      <c r="U5" s="829" t="s">
        <v>137</v>
      </c>
      <c r="V5" s="829" t="s">
        <v>138</v>
      </c>
      <c r="W5" s="829" t="s">
        <v>139</v>
      </c>
      <c r="X5" s="829" t="s">
        <v>140</v>
      </c>
      <c r="Y5" s="829" t="s">
        <v>141</v>
      </c>
      <c r="Z5" s="871" t="s">
        <v>142</v>
      </c>
      <c r="AB5" s="824" t="s">
        <v>131</v>
      </c>
      <c r="AC5" s="858" t="s">
        <v>132</v>
      </c>
      <c r="AD5" s="854" t="s">
        <v>133</v>
      </c>
      <c r="AE5" s="854" t="s">
        <v>134</v>
      </c>
      <c r="AF5" s="854" t="s">
        <v>135</v>
      </c>
      <c r="AG5" s="854" t="s">
        <v>117</v>
      </c>
      <c r="AH5" s="854" t="s">
        <v>136</v>
      </c>
      <c r="AI5" s="854" t="s">
        <v>137</v>
      </c>
      <c r="AJ5" s="854" t="s">
        <v>138</v>
      </c>
      <c r="AK5" s="854" t="s">
        <v>139</v>
      </c>
      <c r="AL5" s="854" t="s">
        <v>140</v>
      </c>
      <c r="AM5" s="854" t="s">
        <v>141</v>
      </c>
      <c r="AN5" s="856" t="s">
        <v>142</v>
      </c>
      <c r="AO5" s="427"/>
      <c r="AP5"/>
      <c r="AQ5"/>
      <c r="AR5"/>
      <c r="AS5"/>
      <c r="AT5"/>
      <c r="AU5"/>
      <c r="AV5"/>
      <c r="AW5"/>
      <c r="AX5"/>
      <c r="AY5"/>
      <c r="AZ5"/>
      <c r="BA5"/>
      <c r="BB5"/>
      <c r="BC5"/>
      <c r="BD5"/>
      <c r="BE5"/>
    </row>
    <row r="6" spans="2:57" ht="27" customHeight="1" thickBot="1" x14ac:dyDescent="0.25">
      <c r="B6" s="291"/>
      <c r="C6" s="418"/>
      <c r="D6" s="418"/>
      <c r="E6" s="418"/>
      <c r="F6" s="516">
        <v>20</v>
      </c>
      <c r="G6" s="566" t="s">
        <v>258</v>
      </c>
      <c r="H6" s="516">
        <v>2023</v>
      </c>
      <c r="I6" s="418"/>
      <c r="J6" s="418"/>
      <c r="K6" s="418"/>
      <c r="L6" s="419"/>
      <c r="N6" s="870"/>
      <c r="O6" s="830"/>
      <c r="P6" s="830"/>
      <c r="Q6" s="830"/>
      <c r="R6" s="830"/>
      <c r="S6" s="830"/>
      <c r="T6" s="830"/>
      <c r="U6" s="830"/>
      <c r="V6" s="830"/>
      <c r="W6" s="830"/>
      <c r="X6" s="830"/>
      <c r="Y6" s="830"/>
      <c r="Z6" s="872"/>
      <c r="AB6" s="825"/>
      <c r="AC6" s="859"/>
      <c r="AD6" s="855"/>
      <c r="AE6" s="855"/>
      <c r="AF6" s="855"/>
      <c r="AG6" s="855"/>
      <c r="AH6" s="855"/>
      <c r="AI6" s="855"/>
      <c r="AJ6" s="855"/>
      <c r="AK6" s="855"/>
      <c r="AL6" s="855"/>
      <c r="AM6" s="855"/>
      <c r="AN6" s="857"/>
      <c r="AO6" s="427"/>
      <c r="AP6"/>
      <c r="AQ6"/>
      <c r="AR6"/>
      <c r="AS6"/>
      <c r="AT6"/>
      <c r="AU6"/>
      <c r="AV6"/>
      <c r="AW6"/>
      <c r="AX6"/>
      <c r="AY6"/>
      <c r="AZ6"/>
      <c r="BA6"/>
      <c r="BB6"/>
      <c r="BC6"/>
      <c r="BD6"/>
      <c r="BE6"/>
    </row>
    <row r="7" spans="2:57" ht="27" customHeight="1" thickBot="1" x14ac:dyDescent="0.25">
      <c r="B7" s="843" t="s">
        <v>18</v>
      </c>
      <c r="C7" s="849" t="s">
        <v>271</v>
      </c>
      <c r="D7" s="846" t="s">
        <v>73</v>
      </c>
      <c r="E7" s="836" t="s">
        <v>20</v>
      </c>
      <c r="F7" s="837"/>
      <c r="G7" s="836" t="s">
        <v>94</v>
      </c>
      <c r="H7" s="837"/>
      <c r="I7" s="836" t="s">
        <v>22</v>
      </c>
      <c r="J7" s="837"/>
      <c r="K7" s="833" t="s">
        <v>190</v>
      </c>
      <c r="L7" s="840"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44"/>
      <c r="C8" s="850"/>
      <c r="D8" s="847"/>
      <c r="E8" s="648" t="s">
        <v>24</v>
      </c>
      <c r="F8" s="648" t="s">
        <v>25</v>
      </c>
      <c r="G8" s="649" t="s">
        <v>24</v>
      </c>
      <c r="H8" s="648" t="s">
        <v>25</v>
      </c>
      <c r="I8" s="649" t="s">
        <v>24</v>
      </c>
      <c r="J8" s="648" t="s">
        <v>25</v>
      </c>
      <c r="K8" s="834"/>
      <c r="L8" s="841"/>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45"/>
      <c r="C9" s="851"/>
      <c r="D9" s="848"/>
      <c r="E9" s="650" t="s">
        <v>26</v>
      </c>
      <c r="F9" s="650" t="s">
        <v>293</v>
      </c>
      <c r="G9" s="651" t="s">
        <v>26</v>
      </c>
      <c r="H9" s="650" t="s">
        <v>293</v>
      </c>
      <c r="I9" s="651" t="s">
        <v>26</v>
      </c>
      <c r="J9" s="650" t="s">
        <v>293</v>
      </c>
      <c r="K9" s="835"/>
      <c r="L9" s="842"/>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55.85</v>
      </c>
      <c r="H11" s="521">
        <v>31.722000000000001</v>
      </c>
      <c r="I11" s="521">
        <v>55.53</v>
      </c>
      <c r="J11" s="731">
        <v>29.757999999999999</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339.39</v>
      </c>
      <c r="H12" s="529">
        <v>7.68</v>
      </c>
      <c r="I12" s="528">
        <v>339.54</v>
      </c>
      <c r="J12" s="732">
        <v>7.8</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75.94</v>
      </c>
      <c r="H13" s="529">
        <v>39.430999999999997</v>
      </c>
      <c r="I13" s="528">
        <v>77.3</v>
      </c>
      <c r="J13" s="732">
        <v>47.722999999999999</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462.47</v>
      </c>
      <c r="H14" s="530">
        <v>37.220999999999997</v>
      </c>
      <c r="I14" s="520">
        <v>461.75</v>
      </c>
      <c r="J14" s="733">
        <v>25.122</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206.45</v>
      </c>
      <c r="H15" s="532">
        <v>8.8480000000000008</v>
      </c>
      <c r="I15" s="672">
        <v>207.04</v>
      </c>
      <c r="J15" s="734">
        <v>9.56</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318.92</v>
      </c>
      <c r="H16" s="533">
        <v>4.6500000000000004</v>
      </c>
      <c r="I16" s="672">
        <v>320.04000000000002</v>
      </c>
      <c r="J16" s="734">
        <v>5.1710000000000003</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86.97</v>
      </c>
      <c r="H17" s="533">
        <v>543.30799999999999</v>
      </c>
      <c r="I17" s="672">
        <v>89.94</v>
      </c>
      <c r="J17" s="734">
        <v>680.19500000000005</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118.9</v>
      </c>
      <c r="H18" s="533">
        <v>1.1040000000000001</v>
      </c>
      <c r="I18" s="534">
        <v>119.9</v>
      </c>
      <c r="J18" s="735">
        <v>1.528</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117.08</v>
      </c>
      <c r="H19" s="535">
        <v>0.40100000000000002</v>
      </c>
      <c r="I19" s="672">
        <v>120.03</v>
      </c>
      <c r="J19" s="734">
        <v>1.4359999999999999</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43.13</v>
      </c>
      <c r="H20" s="533">
        <v>2.016</v>
      </c>
      <c r="I20" s="672">
        <v>46.52</v>
      </c>
      <c r="J20" s="734">
        <v>4.218</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48.24</v>
      </c>
      <c r="H21" s="533">
        <v>1.3160000000000001</v>
      </c>
      <c r="I21" s="673">
        <v>51.5</v>
      </c>
      <c r="J21" s="734">
        <v>2.5779999999999998</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78.33</v>
      </c>
      <c r="H22" s="620">
        <v>0.79800000000000004</v>
      </c>
      <c r="I22" s="672">
        <v>78.61</v>
      </c>
      <c r="J22" s="734">
        <v>1.0229999999999999</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82.21</v>
      </c>
      <c r="H23" s="533">
        <v>0.33100000000000002</v>
      </c>
      <c r="I23" s="672">
        <v>81.25</v>
      </c>
      <c r="J23" s="734">
        <v>4.3999999999999997E-2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63.31</v>
      </c>
      <c r="H24" s="533">
        <v>0.192</v>
      </c>
      <c r="I24" s="672">
        <v>63.62</v>
      </c>
      <c r="J24" s="734">
        <v>0.20699999999999999</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44.98</v>
      </c>
      <c r="H25" s="533">
        <v>9.8000000000000004E-2</v>
      </c>
      <c r="I25" s="672">
        <v>46.83</v>
      </c>
      <c r="J25" s="734">
        <v>0.37</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135</v>
      </c>
      <c r="H26" s="530">
        <v>313.15899999999999</v>
      </c>
      <c r="I26" s="528">
        <v>135.72</v>
      </c>
      <c r="J26" s="740">
        <v>351.02</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113</v>
      </c>
      <c r="H27" s="530">
        <v>2.1120000000000001</v>
      </c>
      <c r="I27" s="537">
        <v>112.6</v>
      </c>
      <c r="J27" s="740">
        <v>1.94</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c r="AF27" s="771"/>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203.5</v>
      </c>
      <c r="H28" s="530">
        <v>0.27300000000000002</v>
      </c>
      <c r="I28" s="528">
        <v>203.4</v>
      </c>
      <c r="J28" s="740">
        <v>0.26</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c r="AF28" s="771"/>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223.5</v>
      </c>
      <c r="H29" s="530">
        <v>0.38100000000000001</v>
      </c>
      <c r="I29" s="537">
        <v>223.74</v>
      </c>
      <c r="J29" s="741">
        <v>0.4</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c r="AF29" s="771"/>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196.03</v>
      </c>
      <c r="J30" s="740">
        <v>0.77700000000000002</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c r="AF30" s="771"/>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170.57</v>
      </c>
      <c r="H31" s="530">
        <v>0.16300000000000001</v>
      </c>
      <c r="I31" s="537">
        <v>166</v>
      </c>
      <c r="J31" s="740" t="s">
        <v>38</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228</v>
      </c>
      <c r="H32" s="538">
        <v>0.621</v>
      </c>
      <c r="I32" s="539">
        <v>228.8</v>
      </c>
      <c r="J32" s="742">
        <v>0.7</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248.2</v>
      </c>
      <c r="H33" s="530">
        <v>1.5669999999999999</v>
      </c>
      <c r="I33" s="537">
        <v>248.71</v>
      </c>
      <c r="J33" s="741">
        <v>1.71</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149.11000000000001</v>
      </c>
      <c r="H34" s="530">
        <v>2.6539999999999999</v>
      </c>
      <c r="I34" s="530">
        <v>146.26</v>
      </c>
      <c r="J34" s="741">
        <v>1.26</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204.91</v>
      </c>
      <c r="J35" s="740">
        <v>3.26</v>
      </c>
      <c r="K35" s="522" t="s">
        <v>187</v>
      </c>
      <c r="L35" s="523">
        <f t="shared" si="0"/>
        <v>0</v>
      </c>
      <c r="M35" s="798">
        <f>(((J35/H35)*100)/100)*F35</f>
        <v>3.3396844059405937</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325.3</v>
      </c>
      <c r="H36" s="540">
        <v>0.622</v>
      </c>
      <c r="I36" s="537">
        <v>325.10000000000002</v>
      </c>
      <c r="J36" s="741">
        <v>0.6</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v>
      </c>
      <c r="H37" s="530">
        <v>0.68300000000000005</v>
      </c>
      <c r="I37" s="537">
        <v>129.19999999999999</v>
      </c>
      <c r="J37" s="740">
        <v>0.71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282.89999999999998</v>
      </c>
      <c r="J38" s="740">
        <v>0.48</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98.46</v>
      </c>
      <c r="H39" s="530">
        <v>2.4929999999999999</v>
      </c>
      <c r="I39" s="537">
        <v>99.05</v>
      </c>
      <c r="J39" s="741">
        <v>2.93</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t="str">
        <f>IF(AE43&gt;$BV$62,"tad",IF(AE45&gt;$BV$62,"tad",MAX(AE7:AE37)))</f>
        <v>tad</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189.66</v>
      </c>
      <c r="J40" s="741">
        <v>0.08</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t="str">
        <f>IF(AE43&gt;$BV$62,"tad",IF(AE45&gt;$BV$62,"tad",AVERAGE(AE7:AE37)))</f>
        <v>tad</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169.99</v>
      </c>
      <c r="J41" s="741">
        <v>7.0000000000000007E-2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t="str">
        <f t="shared" si="7"/>
        <v>tad</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139.58000000000001</v>
      </c>
      <c r="H42" s="530">
        <v>7.1310000000000002</v>
      </c>
      <c r="I42" s="528">
        <v>140.47999999999999</v>
      </c>
      <c r="J42" s="743">
        <v>9.6999999999999993</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t="str">
        <f t="shared" si="9"/>
        <v>tad</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v>
      </c>
      <c r="H43" s="541">
        <v>1.86</v>
      </c>
      <c r="I43" s="528">
        <v>239.05</v>
      </c>
      <c r="J43" s="743">
        <v>2.4300000000000002</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15</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120.25</v>
      </c>
      <c r="H44" s="530">
        <v>3.2050000000000001</v>
      </c>
      <c r="I44" s="528">
        <v>120.69</v>
      </c>
      <c r="J44" s="740">
        <v>4.04</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t="str">
        <f t="shared" si="12"/>
        <v>tad</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110.51</v>
      </c>
      <c r="J45" s="740">
        <v>2.66</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11</v>
      </c>
      <c r="AF45" s="792">
        <f t="shared" si="13"/>
        <v>15</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70.33</v>
      </c>
      <c r="H46" s="520">
        <v>31.55</v>
      </c>
      <c r="I46" s="528">
        <v>66.78</v>
      </c>
      <c r="J46" s="736">
        <v>24.43</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184.23</v>
      </c>
      <c r="H47" s="529">
        <v>359.94</v>
      </c>
      <c r="I47" s="528">
        <v>174.71</v>
      </c>
      <c r="J47" s="736">
        <v>287.35000000000002</v>
      </c>
      <c r="K47" s="522" t="s">
        <v>188</v>
      </c>
      <c r="L47" s="523">
        <f t="shared" si="0"/>
        <v>0</v>
      </c>
      <c r="M47" s="800"/>
      <c r="AB47" s="826" t="s">
        <v>334</v>
      </c>
      <c r="AC47" s="827"/>
      <c r="AD47" s="827"/>
      <c r="AE47" s="827"/>
      <c r="AF47" s="827"/>
      <c r="AG47" s="827"/>
      <c r="AH47" s="827"/>
      <c r="AI47" s="827"/>
      <c r="AJ47" s="827"/>
      <c r="AK47" s="827"/>
      <c r="AL47" s="827"/>
      <c r="AM47" s="827"/>
      <c r="AN47" s="827"/>
      <c r="AO47" s="828"/>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229.02</v>
      </c>
      <c r="H48" s="529">
        <v>5.734</v>
      </c>
      <c r="I48" s="528">
        <v>229.92</v>
      </c>
      <c r="J48" s="736">
        <v>10.247999999999999</v>
      </c>
      <c r="K48" s="522" t="s">
        <v>189</v>
      </c>
      <c r="L48" s="523">
        <f t="shared" si="0"/>
        <v>0</v>
      </c>
      <c r="M48" s="662"/>
      <c r="N48" s="389"/>
      <c r="AB48" s="821"/>
      <c r="AC48" s="822"/>
      <c r="AD48" s="822"/>
      <c r="AE48" s="822"/>
      <c r="AF48" s="822"/>
      <c r="AG48" s="822"/>
      <c r="AH48" s="822"/>
      <c r="AI48" s="822"/>
      <c r="AJ48" s="822"/>
      <c r="AK48" s="822"/>
      <c r="AL48" s="822"/>
      <c r="AM48" s="822"/>
      <c r="AN48" s="822"/>
      <c r="AO48" s="823"/>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148.32</v>
      </c>
      <c r="H49" s="527">
        <v>9.93</v>
      </c>
      <c r="I49" s="526">
        <v>149.44</v>
      </c>
      <c r="J49" s="737">
        <v>11.07</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38.369999999999997</v>
      </c>
      <c r="J50" s="738">
        <v>0.40500000000000003</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1431.1519999999998</v>
      </c>
      <c r="I52" s="548"/>
      <c r="J52" s="550">
        <f>SUM(J11:J51)</f>
        <v>1536.0160000000003</v>
      </c>
      <c r="K52" s="551"/>
      <c r="L52" s="552"/>
      <c r="M52" s="804"/>
      <c r="AB52" s="434"/>
      <c r="AC52" s="427"/>
      <c r="AD52" s="427"/>
      <c r="AE52" s="427"/>
      <c r="AF52" s="427"/>
      <c r="AG52" s="427"/>
      <c r="AH52" s="427"/>
      <c r="AI52" s="427"/>
      <c r="AJ52" s="427"/>
      <c r="AK52" s="427"/>
      <c r="AL52" s="427"/>
      <c r="AM52" s="427"/>
      <c r="AN52" s="427"/>
      <c r="AO52" s="433"/>
      <c r="AP52" s="274">
        <f>COUNT(AC42:AN42)</f>
        <v>2</v>
      </c>
      <c r="AQ52" t="s">
        <v>200</v>
      </c>
      <c r="AR52">
        <f t="shared" ref="AR52:BC52" si="15">AR50-AR51</f>
        <v>2</v>
      </c>
      <c r="AS52">
        <f t="shared" si="15"/>
        <v>0</v>
      </c>
      <c r="AT52">
        <f t="shared" si="15"/>
        <v>0</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1.0732724406631864</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1">
        <v>1</v>
      </c>
      <c r="G54" s="831">
        <f>+H52/F52*100%</f>
        <v>0.81430262054046254</v>
      </c>
      <c r="H54" s="831"/>
      <c r="I54" s="832">
        <f>+J52/F52</f>
        <v>0.87396856098589071</v>
      </c>
      <c r="J54" s="832"/>
      <c r="K54" s="831"/>
      <c r="L54" s="83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1"/>
      <c r="G55" s="831"/>
      <c r="H55" s="831"/>
      <c r="I55" s="832"/>
      <c r="J55" s="832"/>
      <c r="K55" s="831"/>
      <c r="L55" s="83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19</v>
      </c>
      <c r="G57" s="566" t="s">
        <v>258</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2</v>
      </c>
      <c r="AQ57" t="s">
        <v>199</v>
      </c>
      <c r="AR57">
        <f t="shared" ref="AR57:BC57" si="16">COUNT(AC22:AC37)</f>
        <v>16</v>
      </c>
      <c r="AS57">
        <f t="shared" si="16"/>
        <v>13</v>
      </c>
      <c r="AT57">
        <f t="shared" si="16"/>
        <v>5</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0" t="s">
        <v>20</v>
      </c>
      <c r="F58" s="861"/>
      <c r="G58" s="860" t="s">
        <v>94</v>
      </c>
      <c r="H58" s="861"/>
      <c r="I58" s="860" t="s">
        <v>22</v>
      </c>
      <c r="J58" s="861"/>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11</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288</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55.85</v>
      </c>
      <c r="H62" s="256">
        <v>31.722000000000001</v>
      </c>
      <c r="I62" s="256">
        <v>55.55</v>
      </c>
      <c r="J62" s="256">
        <v>29.870999999999999</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339.39</v>
      </c>
      <c r="H63" s="297">
        <v>7.68</v>
      </c>
      <c r="I63" s="257">
        <v>339.54</v>
      </c>
      <c r="J63" s="297">
        <v>7.8</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75.94</v>
      </c>
      <c r="H64" s="297">
        <v>39.430999999999997</v>
      </c>
      <c r="I64" s="257">
        <v>77.37</v>
      </c>
      <c r="J64" s="297">
        <v>48.173999999999999</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462.47</v>
      </c>
      <c r="H65" s="329">
        <v>37.220999999999997</v>
      </c>
      <c r="I65" s="315">
        <v>461.78</v>
      </c>
      <c r="J65" s="297">
        <v>25.565000000000001</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206.45</v>
      </c>
      <c r="H66" s="258">
        <v>8.8480000000000008</v>
      </c>
      <c r="I66" s="664">
        <v>207.04</v>
      </c>
      <c r="J66" s="256">
        <v>9.56</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318.92</v>
      </c>
      <c r="H67" s="258">
        <v>4.6500000000000004</v>
      </c>
      <c r="I67" s="671">
        <v>320.04000000000002</v>
      </c>
      <c r="J67" s="728">
        <v>5.1710000000000003</v>
      </c>
      <c r="K67" s="312" t="str">
        <f>IF(I67&gt;E67,"Limpas","")</f>
        <v>Limpas</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86.97</v>
      </c>
      <c r="H68" s="257">
        <v>543.30799999999999</v>
      </c>
      <c r="I68" s="664">
        <v>89.94</v>
      </c>
      <c r="J68" s="297">
        <v>680.19500000000005</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118.9</v>
      </c>
      <c r="H69" s="297">
        <v>1.1040000000000001</v>
      </c>
      <c r="I69" s="331">
        <v>119.94</v>
      </c>
      <c r="J69" s="256">
        <v>1.544</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117.08</v>
      </c>
      <c r="H70" s="297">
        <v>0.40100000000000002</v>
      </c>
      <c r="I70" s="664">
        <v>120.06</v>
      </c>
      <c r="J70" s="256">
        <v>1.45</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43.13</v>
      </c>
      <c r="H71" s="257">
        <v>2.016</v>
      </c>
      <c r="I71" s="664">
        <v>46.52</v>
      </c>
      <c r="J71" s="256">
        <v>4.218</v>
      </c>
      <c r="K71" s="312" t="str">
        <f>IF(I71&gt;E71,"Limpas","")</f>
        <v>Limpas</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48.24</v>
      </c>
      <c r="H72" s="257">
        <v>1.3160000000000001</v>
      </c>
      <c r="I72" s="668">
        <v>51.5</v>
      </c>
      <c r="J72" s="256">
        <v>2.5779999999999998</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78.33</v>
      </c>
      <c r="H73" s="620">
        <v>0.79800000000000004</v>
      </c>
      <c r="I73" s="664">
        <v>78.73</v>
      </c>
      <c r="J73" s="256">
        <v>1.044</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82.21</v>
      </c>
      <c r="H74" s="297">
        <v>0.33100000000000002</v>
      </c>
      <c r="I74" s="664">
        <v>81.27</v>
      </c>
      <c r="J74" s="256">
        <v>4.4999999999999998E-2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63.31</v>
      </c>
      <c r="H75" s="257">
        <v>0.192</v>
      </c>
      <c r="I75" s="671">
        <v>63.64</v>
      </c>
      <c r="J75" s="728">
        <v>0.20899999999999999</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44.98</v>
      </c>
      <c r="H76" s="297">
        <v>9.8000000000000004E-2</v>
      </c>
      <c r="I76" s="664">
        <v>46.86</v>
      </c>
      <c r="J76" s="256">
        <v>0.375</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135</v>
      </c>
      <c r="H77" s="257">
        <v>313.15899999999999</v>
      </c>
      <c r="I77" s="257">
        <v>135.71</v>
      </c>
      <c r="J77" s="718">
        <v>350.48</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113</v>
      </c>
      <c r="H78" s="257">
        <v>2.1120000000000001</v>
      </c>
      <c r="I78" s="258">
        <v>112.59</v>
      </c>
      <c r="J78" s="718">
        <v>1.9370000000000001</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203.5</v>
      </c>
      <c r="H79" s="257">
        <v>0.27300000000000002</v>
      </c>
      <c r="I79" s="257">
        <v>203.5</v>
      </c>
      <c r="J79" s="718">
        <v>0.27300000000000002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223.5</v>
      </c>
      <c r="H80" s="257">
        <v>0.38100000000000001</v>
      </c>
      <c r="I80" s="258">
        <v>223.73</v>
      </c>
      <c r="J80" s="719">
        <v>0.40300000000000002</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196.03</v>
      </c>
      <c r="J81" s="718">
        <v>0.77700000000000002</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170.57</v>
      </c>
      <c r="H82" s="257">
        <v>0.16300000000000001</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228</v>
      </c>
      <c r="H83" s="256">
        <v>0.621</v>
      </c>
      <c r="I83" s="368">
        <v>228.84</v>
      </c>
      <c r="J83" s="720">
        <v>0.7</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248.2</v>
      </c>
      <c r="H84" s="257">
        <v>1.5669999999999999</v>
      </c>
      <c r="I84" s="258">
        <v>248.71</v>
      </c>
      <c r="J84" s="719">
        <v>1.71</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149.11000000000001</v>
      </c>
      <c r="H85" s="257">
        <v>2.6539999999999999</v>
      </c>
      <c r="I85" s="257">
        <v>146.26</v>
      </c>
      <c r="J85" s="719">
        <v>1.2589999999999999</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204.88</v>
      </c>
      <c r="J86" s="718">
        <v>3.2440000000000002</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325.3</v>
      </c>
      <c r="H87" s="258">
        <v>0.622</v>
      </c>
      <c r="I87" s="258">
        <v>325.10000000000002</v>
      </c>
      <c r="J87" s="719">
        <v>0.60199999999999998</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v>
      </c>
      <c r="H88" s="257">
        <v>0.68300000000000005</v>
      </c>
      <c r="I88" s="258">
        <v>129.19999999999999</v>
      </c>
      <c r="J88" s="718">
        <v>0.71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283.01</v>
      </c>
      <c r="J89" s="718">
        <v>0.48399999999999999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98.46</v>
      </c>
      <c r="H90" s="257">
        <v>2.4929999999999999</v>
      </c>
      <c r="I90" s="258">
        <v>99.04</v>
      </c>
      <c r="J90" s="719">
        <v>2.919</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189.65</v>
      </c>
      <c r="J91" s="719">
        <v>7.9000000000000001E-2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169.89</v>
      </c>
      <c r="J92" s="719">
        <v>6.5000000000000002E-2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139.58000000000001</v>
      </c>
      <c r="H93" s="257">
        <v>7.1310000000000002</v>
      </c>
      <c r="I93" s="257">
        <v>140.5</v>
      </c>
      <c r="J93" s="721">
        <v>9.7550000000000008</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v>
      </c>
      <c r="H94" s="297">
        <v>1.86</v>
      </c>
      <c r="I94" s="257">
        <v>239.05</v>
      </c>
      <c r="J94" s="721">
        <v>2.4340000000000002</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120.25</v>
      </c>
      <c r="H95" s="257">
        <v>3.2050000000000001</v>
      </c>
      <c r="I95" s="257">
        <v>120.7</v>
      </c>
      <c r="J95" s="718">
        <v>4.0590000000000002</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110.5</v>
      </c>
      <c r="J96" s="718">
        <v>2.6360000000000001</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70.33</v>
      </c>
      <c r="H97" s="297">
        <v>31.55</v>
      </c>
      <c r="I97" s="257">
        <v>66.95</v>
      </c>
      <c r="J97" s="721">
        <v>24.75</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184.23</v>
      </c>
      <c r="H98" s="297">
        <v>359.94</v>
      </c>
      <c r="I98" s="421">
        <v>174.63</v>
      </c>
      <c r="J98" s="727">
        <v>286.60000000000002</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229.02</v>
      </c>
      <c r="H99" s="297">
        <v>5.734</v>
      </c>
      <c r="I99" s="257">
        <v>229.81</v>
      </c>
      <c r="J99" s="297">
        <v>9.6340000000000003</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148.32</v>
      </c>
      <c r="H100" s="333">
        <v>9.93</v>
      </c>
      <c r="I100" s="665">
        <v>149.47999999999999</v>
      </c>
      <c r="J100" s="716">
        <v>11.1</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38.369999999999997</v>
      </c>
      <c r="J101" s="721">
        <v>0.40500000000000003</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1351.1789999999999</v>
      </c>
      <c r="I103" s="319"/>
      <c r="J103" s="281">
        <f>SUM(J62:J102)</f>
        <v>1535.567</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1.1364645246854785</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0.74490989156575327</v>
      </c>
      <c r="I105" s="326"/>
      <c r="J105" s="267">
        <f>+J103/F103</f>
        <v>0.84656366585178511</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18</v>
      </c>
      <c r="G107" s="566" t="s">
        <v>258</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0" t="s">
        <v>20</v>
      </c>
      <c r="F108" s="861"/>
      <c r="G108" s="860" t="s">
        <v>94</v>
      </c>
      <c r="H108" s="861"/>
      <c r="I108" s="860" t="s">
        <v>22</v>
      </c>
      <c r="J108" s="861"/>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55.85</v>
      </c>
      <c r="H112" s="256">
        <v>31.722000000000001</v>
      </c>
      <c r="I112" s="256">
        <v>55.56</v>
      </c>
      <c r="J112" s="256">
        <v>29.927</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339.39</v>
      </c>
      <c r="H113" s="297">
        <v>7.68</v>
      </c>
      <c r="I113" s="257">
        <v>339.51</v>
      </c>
      <c r="J113" s="297">
        <v>7.7770000000000001</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75.94</v>
      </c>
      <c r="H114" s="297">
        <v>39.430999999999997</v>
      </c>
      <c r="I114" s="257">
        <v>77.42</v>
      </c>
      <c r="J114" s="297">
        <v>48.497999999999998</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462.47</v>
      </c>
      <c r="H115" s="329">
        <v>37.220999999999997</v>
      </c>
      <c r="I115" s="315">
        <v>461.83</v>
      </c>
      <c r="J115" s="297">
        <v>26.315000000000001</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206.45</v>
      </c>
      <c r="H116" s="258">
        <v>8.8480000000000008</v>
      </c>
      <c r="I116" s="664">
        <v>320.04000000000002</v>
      </c>
      <c r="J116" s="718">
        <v>5.1710000000000003</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318.92</v>
      </c>
      <c r="H117" s="258">
        <v>4.6500000000000004</v>
      </c>
      <c r="I117" s="664">
        <v>320.04000000000002</v>
      </c>
      <c r="J117" s="718">
        <v>5.1710000000000003</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86.97</v>
      </c>
      <c r="H118" s="257">
        <v>543.30799999999999</v>
      </c>
      <c r="I118" s="664">
        <v>89.94</v>
      </c>
      <c r="J118" s="718">
        <v>680.19500000000005</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118.9</v>
      </c>
      <c r="H119" s="297">
        <v>1.1040000000000001</v>
      </c>
      <c r="I119" s="331">
        <v>119.94</v>
      </c>
      <c r="J119" s="718">
        <v>1.544</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117.08</v>
      </c>
      <c r="H120" s="297">
        <v>0.40100000000000002</v>
      </c>
      <c r="I120" s="664">
        <v>120.08</v>
      </c>
      <c r="J120" s="718">
        <v>1.4590000000000001</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43.13</v>
      </c>
      <c r="H121" s="257">
        <v>2.016</v>
      </c>
      <c r="I121" s="664">
        <v>46.52</v>
      </c>
      <c r="J121" s="724">
        <v>4.218</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48.24</v>
      </c>
      <c r="H122" s="257">
        <v>1.3160000000000001</v>
      </c>
      <c r="I122" s="668">
        <v>51.5</v>
      </c>
      <c r="J122" s="718">
        <v>2.5779999999999998</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78.33</v>
      </c>
      <c r="H123" s="620">
        <v>0.79800000000000004</v>
      </c>
      <c r="I123" s="664">
        <v>78.73</v>
      </c>
      <c r="J123" s="718">
        <v>1.044</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82.21</v>
      </c>
      <c r="H124" s="297">
        <v>0.33100000000000002</v>
      </c>
      <c r="I124" s="664">
        <v>81.3</v>
      </c>
      <c r="J124" s="718">
        <v>4.5999999999999999E-2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63.31</v>
      </c>
      <c r="H125" s="257">
        <v>0.192</v>
      </c>
      <c r="I125" s="664">
        <v>63.68</v>
      </c>
      <c r="J125" s="718">
        <v>0.214</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44.98</v>
      </c>
      <c r="H126" s="297">
        <v>9.8000000000000004E-2</v>
      </c>
      <c r="I126" s="664">
        <v>46.88</v>
      </c>
      <c r="J126" s="718">
        <v>0.378</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135</v>
      </c>
      <c r="H127" s="257">
        <v>313.15899999999999</v>
      </c>
      <c r="I127" s="257">
        <v>135.69</v>
      </c>
      <c r="J127" s="718">
        <v>349.4</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113</v>
      </c>
      <c r="H128" s="257">
        <v>2.1120000000000001</v>
      </c>
      <c r="I128" s="258">
        <v>112.63</v>
      </c>
      <c r="J128" s="718">
        <v>1.954</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203.5</v>
      </c>
      <c r="H129" s="257">
        <v>0.27300000000000002</v>
      </c>
      <c r="I129" s="257">
        <v>203.5</v>
      </c>
      <c r="J129" s="718">
        <v>0.27300000000000002</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223.5</v>
      </c>
      <c r="H130" s="257">
        <v>0.38100000000000001</v>
      </c>
      <c r="I130" s="258">
        <v>223.7</v>
      </c>
      <c r="J130" s="719">
        <v>0.4</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196.03</v>
      </c>
      <c r="J131" s="718">
        <v>0.77700000000000002</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170.57</v>
      </c>
      <c r="H132" s="257">
        <v>0.16300000000000001</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228</v>
      </c>
      <c r="H133" s="256">
        <v>0.621</v>
      </c>
      <c r="I133" s="368">
        <v>228.7</v>
      </c>
      <c r="J133" s="720">
        <v>0.67800000000000005</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248.2</v>
      </c>
      <c r="H134" s="257">
        <v>1.5669999999999999</v>
      </c>
      <c r="I134" s="258">
        <v>248.65</v>
      </c>
      <c r="J134" s="719">
        <v>1.6930000000000001</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149.11000000000001</v>
      </c>
      <c r="H135" s="257">
        <v>2.6539999999999999</v>
      </c>
      <c r="I135" s="257">
        <v>146.18</v>
      </c>
      <c r="J135" s="719">
        <v>1.2230000000000001</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204.83</v>
      </c>
      <c r="J136" s="718">
        <v>3.22</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325.3</v>
      </c>
      <c r="H137" s="258">
        <v>0.622</v>
      </c>
      <c r="I137" s="258">
        <v>325.10000000000002</v>
      </c>
      <c r="J137" s="719">
        <v>0.60199999999999998</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v>
      </c>
      <c r="H138" s="257">
        <v>0.68300000000000005</v>
      </c>
      <c r="I138" s="258">
        <v>129.19999999999999</v>
      </c>
      <c r="J138" s="718">
        <v>0.71</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282.95999999999998</v>
      </c>
      <c r="J139" s="718">
        <v>0.48</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98.46</v>
      </c>
      <c r="H140" s="257">
        <v>2.4929999999999999</v>
      </c>
      <c r="I140" s="258">
        <v>99.06</v>
      </c>
      <c r="J140" s="719">
        <v>2.9359999999999999</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189.65</v>
      </c>
      <c r="J141" s="725">
        <v>7.9000000000000001E-2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169.78</v>
      </c>
      <c r="J142" s="719">
        <v>6.3E-2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139.58000000000001</v>
      </c>
      <c r="H143" s="257">
        <v>7.1310000000000002</v>
      </c>
      <c r="I143" s="257">
        <v>140.53</v>
      </c>
      <c r="J143" s="721">
        <v>9.8439999999999994</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v>
      </c>
      <c r="H144" s="297">
        <v>1.86</v>
      </c>
      <c r="I144" s="257">
        <v>239.08</v>
      </c>
      <c r="J144" s="721">
        <v>2.4544000000000001</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120.25</v>
      </c>
      <c r="H145" s="257">
        <v>3.2050000000000001</v>
      </c>
      <c r="I145" s="257">
        <v>120.7</v>
      </c>
      <c r="J145" s="718">
        <v>4.0590000000000002</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110.5</v>
      </c>
      <c r="J146" s="726">
        <v>2.6360000000000001</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70.33</v>
      </c>
      <c r="H147" s="297">
        <v>31.55</v>
      </c>
      <c r="I147" s="257">
        <v>67.12</v>
      </c>
      <c r="J147" s="721">
        <v>25.08</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184.23</v>
      </c>
      <c r="H148" s="297">
        <v>359.94</v>
      </c>
      <c r="I148" s="421">
        <v>174.45</v>
      </c>
      <c r="J148" s="727">
        <v>284.92</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229.01</v>
      </c>
      <c r="H149" s="297">
        <v>5.69</v>
      </c>
      <c r="I149" s="257">
        <v>229.75</v>
      </c>
      <c r="J149" s="721">
        <v>9.3059999999999992</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148.32</v>
      </c>
      <c r="H150" s="333">
        <v>9.93</v>
      </c>
      <c r="I150" s="316">
        <v>149.56</v>
      </c>
      <c r="J150" s="716">
        <v>11.19</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38.369999999999997</v>
      </c>
      <c r="J151" s="721">
        <v>0.40500000000000003</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1351.135</v>
      </c>
      <c r="I153" s="319"/>
      <c r="J153" s="281">
        <f>SUM(J112:J152)</f>
        <v>1529.6704000000002</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1.1321373511899258</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0.74488563420590026</v>
      </c>
      <c r="I155" s="326"/>
      <c r="J155" s="267">
        <f>+J153/F153</f>
        <v>0.8433128488492958</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x14ac:dyDescent="0.25">
      <c r="B157" s="291"/>
      <c r="C157" s="260"/>
      <c r="D157" s="260"/>
      <c r="E157" s="260"/>
      <c r="F157" s="516">
        <v>17</v>
      </c>
      <c r="G157" s="566" t="s">
        <v>258</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0" t="s">
        <v>20</v>
      </c>
      <c r="F158" s="861"/>
      <c r="G158" s="860" t="s">
        <v>94</v>
      </c>
      <c r="H158" s="861"/>
      <c r="I158" s="860" t="s">
        <v>22</v>
      </c>
      <c r="J158" s="861"/>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55.85</v>
      </c>
      <c r="H162" s="256">
        <v>31.722000000000001</v>
      </c>
      <c r="I162" s="688">
        <v>55.58</v>
      </c>
      <c r="J162" s="688">
        <v>30.04</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339.39</v>
      </c>
      <c r="H163" s="297">
        <v>7.68</v>
      </c>
      <c r="I163" s="329">
        <v>339.5</v>
      </c>
      <c r="J163" s="708">
        <v>7.77</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75.94</v>
      </c>
      <c r="H164" s="297">
        <v>39.430999999999997</v>
      </c>
      <c r="I164" s="329">
        <v>77.459999999999994</v>
      </c>
      <c r="J164" s="708">
        <v>48.759</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462.47</v>
      </c>
      <c r="H165" s="329">
        <v>37.220999999999997</v>
      </c>
      <c r="I165" s="315">
        <v>461.76</v>
      </c>
      <c r="J165" s="708">
        <v>25.268999999999998</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206.45</v>
      </c>
      <c r="H166" s="258">
        <v>8.8480000000000008</v>
      </c>
      <c r="I166" s="682">
        <v>207.04</v>
      </c>
      <c r="J166" s="708">
        <v>9.56</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318.92</v>
      </c>
      <c r="H167" s="258">
        <v>4.6500000000000004</v>
      </c>
      <c r="I167" s="682">
        <v>320.04000000000002</v>
      </c>
      <c r="J167" s="708">
        <v>5.1710000000000003</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86.97</v>
      </c>
      <c r="H168" s="257">
        <v>543.30799999999999</v>
      </c>
      <c r="I168" s="682">
        <v>89.93</v>
      </c>
      <c r="J168" s="708">
        <v>679.69600000000003</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118.9</v>
      </c>
      <c r="H169" s="297">
        <v>1.1040000000000001</v>
      </c>
      <c r="I169" s="331">
        <v>120.09</v>
      </c>
      <c r="J169" s="708">
        <v>1.5669999999999999</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117.08</v>
      </c>
      <c r="H170" s="297">
        <v>0.40100000000000002</v>
      </c>
      <c r="I170" s="682">
        <v>120.08</v>
      </c>
      <c r="J170" s="708">
        <v>1.4590000000000001</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43.13</v>
      </c>
      <c r="H171" s="257">
        <v>2.016</v>
      </c>
      <c r="I171" s="682">
        <v>46.52</v>
      </c>
      <c r="J171" s="708">
        <v>4.218</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48.24</v>
      </c>
      <c r="H172" s="257">
        <v>1.3160000000000001</v>
      </c>
      <c r="I172" s="683">
        <v>51.5</v>
      </c>
      <c r="J172" s="708">
        <v>2.5779999999999998</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78.33</v>
      </c>
      <c r="H173" s="620">
        <v>0.79800000000000004</v>
      </c>
      <c r="I173" s="682">
        <v>78.73</v>
      </c>
      <c r="J173" s="708">
        <v>1.044</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82.21</v>
      </c>
      <c r="H174" s="297">
        <v>0.33100000000000002</v>
      </c>
      <c r="I174" s="682">
        <v>81.31</v>
      </c>
      <c r="J174" s="708">
        <v>4.7E-2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63.31</v>
      </c>
      <c r="H175" s="330">
        <v>0.192</v>
      </c>
      <c r="I175" s="682">
        <v>63.7</v>
      </c>
      <c r="J175" s="708">
        <v>0.217</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44.98</v>
      </c>
      <c r="H176" s="297">
        <v>9.8000000000000004E-2</v>
      </c>
      <c r="I176" s="682">
        <v>46.97</v>
      </c>
      <c r="J176" s="708">
        <v>0.38200000000000001</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135</v>
      </c>
      <c r="H177" s="257">
        <v>313.15899999999999</v>
      </c>
      <c r="I177" s="329">
        <v>135.68</v>
      </c>
      <c r="J177" s="711">
        <v>348.86</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113</v>
      </c>
      <c r="H178" s="257">
        <v>2.1120000000000001</v>
      </c>
      <c r="I178" s="684">
        <v>112.62</v>
      </c>
      <c r="J178" s="711">
        <v>1.95</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203.5</v>
      </c>
      <c r="H179" s="257">
        <v>0.27300000000000002</v>
      </c>
      <c r="I179" s="329">
        <v>203.6</v>
      </c>
      <c r="J179" s="711">
        <v>0.28299999999999997</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223.5</v>
      </c>
      <c r="H180" s="257">
        <v>0.38100000000000001</v>
      </c>
      <c r="I180" s="684">
        <v>223.83</v>
      </c>
      <c r="J180" s="712">
        <v>0.41299999999999998</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196.03</v>
      </c>
      <c r="J181" s="711">
        <v>0.77700000000000002</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170.57</v>
      </c>
      <c r="H182" s="257">
        <v>0.16300000000000001</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228</v>
      </c>
      <c r="H183" s="256">
        <v>0.621</v>
      </c>
      <c r="I183" s="685">
        <v>228.65</v>
      </c>
      <c r="J183" s="713">
        <v>0.68300000000000005</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248.2</v>
      </c>
      <c r="H184" s="257">
        <v>1.5669999999999999</v>
      </c>
      <c r="I184" s="684">
        <v>248.65</v>
      </c>
      <c r="J184" s="712">
        <v>1.6930000000000001</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149.11000000000001</v>
      </c>
      <c r="H185" s="257">
        <v>2.6539999999999999</v>
      </c>
      <c r="I185" s="329">
        <v>146.1</v>
      </c>
      <c r="J185" s="712">
        <v>1.1870000000000001</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204.88</v>
      </c>
      <c r="J186" s="711">
        <v>3.2440000000000002</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325.3</v>
      </c>
      <c r="H187" s="258">
        <v>0.622</v>
      </c>
      <c r="I187" s="684">
        <v>325.10000000000002</v>
      </c>
      <c r="J187" s="712">
        <v>0.60199999999999998</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v>
      </c>
      <c r="H188" s="257">
        <v>0.68300000000000005</v>
      </c>
      <c r="I188" s="684">
        <v>129.19999999999999</v>
      </c>
      <c r="J188" s="711">
        <v>0.71</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282.64</v>
      </c>
      <c r="J189" s="711">
        <v>0.45100000000000001</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98.46</v>
      </c>
      <c r="H190" s="257">
        <v>2.4929999999999999</v>
      </c>
      <c r="I190" s="684">
        <v>99.02</v>
      </c>
      <c r="J190" s="712">
        <v>2.9020000000000001</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189.63</v>
      </c>
      <c r="J191" s="712">
        <v>7.8E-2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169.8</v>
      </c>
      <c r="J192" s="712">
        <v>6.3E-2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139.58000000000001</v>
      </c>
      <c r="H193" s="257">
        <v>7.1310000000000002</v>
      </c>
      <c r="I193" s="329">
        <v>140.59</v>
      </c>
      <c r="J193" s="714">
        <v>10.023999999999999</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v>
      </c>
      <c r="H194" s="297">
        <v>1.86</v>
      </c>
      <c r="I194" s="329">
        <v>239.2</v>
      </c>
      <c r="J194" s="714">
        <v>2.536</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120.25</v>
      </c>
      <c r="H195" s="257">
        <v>3.2050000000000001</v>
      </c>
      <c r="I195" s="329">
        <v>120.69</v>
      </c>
      <c r="J195" s="711">
        <v>4.04</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110.49</v>
      </c>
      <c r="J196" s="711">
        <v>2.6360000000000001</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70.33</v>
      </c>
      <c r="H197" s="297">
        <v>31.55</v>
      </c>
      <c r="I197" s="329">
        <v>67.23</v>
      </c>
      <c r="J197" s="714">
        <v>25.37</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184.23</v>
      </c>
      <c r="H198" s="297">
        <v>359.94</v>
      </c>
      <c r="I198" s="686">
        <v>174.27</v>
      </c>
      <c r="J198" s="723">
        <v>283.24</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229.01</v>
      </c>
      <c r="H199" s="297">
        <v>5.69</v>
      </c>
      <c r="I199" s="329">
        <v>229.73</v>
      </c>
      <c r="J199" s="714">
        <v>9.1980000000000004</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148.32</v>
      </c>
      <c r="H200" s="333">
        <v>9.93</v>
      </c>
      <c r="I200" s="316">
        <v>149.55000000000001</v>
      </c>
      <c r="J200" s="716">
        <v>11.18</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38.369999999999997</v>
      </c>
      <c r="J201" s="714">
        <v>0.40500000000000003</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1351.135</v>
      </c>
      <c r="I203" s="689"/>
      <c r="J203" s="690">
        <f>SUM(J162:J202)</f>
        <v>1531.0549999999996</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1.1331621192552925</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0.74650050089156783</v>
      </c>
      <c r="I205" s="691"/>
      <c r="J205" s="693">
        <f>+J203/F203</f>
        <v>0.84590608961542635</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16</v>
      </c>
      <c r="G207" s="566" t="s">
        <v>258</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0" t="s">
        <v>20</v>
      </c>
      <c r="F208" s="861"/>
      <c r="G208" s="860" t="s">
        <v>94</v>
      </c>
      <c r="H208" s="861"/>
      <c r="I208" s="862" t="s">
        <v>22</v>
      </c>
      <c r="J208" s="863"/>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52.89</v>
      </c>
      <c r="H212" s="256">
        <v>16.565999999999999</v>
      </c>
      <c r="I212" s="665">
        <v>55.6</v>
      </c>
      <c r="J212" s="665">
        <v>30.152999999999999</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337.23</v>
      </c>
      <c r="H213" s="297">
        <v>5.81</v>
      </c>
      <c r="I213" s="329">
        <v>339.5</v>
      </c>
      <c r="J213" s="708">
        <v>7.77</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70.63</v>
      </c>
      <c r="H214" s="297">
        <v>14.782999999999999</v>
      </c>
      <c r="I214" s="329">
        <v>77.510000000000005</v>
      </c>
      <c r="J214" s="708">
        <v>49.085000000000001</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462.47</v>
      </c>
      <c r="H215" s="329">
        <v>37.220999999999997</v>
      </c>
      <c r="I215" s="315">
        <v>461.8</v>
      </c>
      <c r="J215" s="708">
        <v>25.863</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206.45</v>
      </c>
      <c r="H216" s="258">
        <v>8.8480000000000008</v>
      </c>
      <c r="I216" s="682">
        <v>207.04</v>
      </c>
      <c r="J216" s="708">
        <v>9.56</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318.92</v>
      </c>
      <c r="H217" s="258">
        <v>4.6500000000000004</v>
      </c>
      <c r="I217" s="682">
        <v>320.04000000000002</v>
      </c>
      <c r="J217" s="708">
        <v>5.1710000000000003</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86.97</v>
      </c>
      <c r="H218" s="257">
        <v>543.30799999999999</v>
      </c>
      <c r="I218" s="682">
        <v>89.93</v>
      </c>
      <c r="J218" s="708">
        <v>679.69600000000003</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118.9</v>
      </c>
      <c r="H219" s="297">
        <v>1.1040000000000001</v>
      </c>
      <c r="I219" s="331">
        <v>120.07</v>
      </c>
      <c r="J219" s="708">
        <v>1.599</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117.08</v>
      </c>
      <c r="H220" s="297">
        <v>0.40100000000000002</v>
      </c>
      <c r="I220" s="682">
        <v>120.08</v>
      </c>
      <c r="J220" s="708">
        <v>1.4590000000000001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43.13</v>
      </c>
      <c r="H221" s="257">
        <v>2.016</v>
      </c>
      <c r="I221" s="682">
        <v>46.46</v>
      </c>
      <c r="J221" s="708">
        <v>4.1559999999999997</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48.24</v>
      </c>
      <c r="H222" s="257">
        <v>1.3160000000000001</v>
      </c>
      <c r="I222" s="683">
        <v>51.5</v>
      </c>
      <c r="J222" s="708">
        <v>2.5779999999999998</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78.33</v>
      </c>
      <c r="H223" s="620">
        <v>0.79800000000000004</v>
      </c>
      <c r="I223" s="682">
        <v>78.73</v>
      </c>
      <c r="J223" s="708">
        <v>1.044</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82.21</v>
      </c>
      <c r="H224" s="297">
        <v>0.33100000000000002</v>
      </c>
      <c r="I224" s="682">
        <v>81.39</v>
      </c>
      <c r="J224" s="708">
        <v>0.05</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63.31</v>
      </c>
      <c r="H225" s="257">
        <v>0.192</v>
      </c>
      <c r="I225" s="682">
        <v>63.71</v>
      </c>
      <c r="J225" s="708">
        <v>0.218</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44.98</v>
      </c>
      <c r="H226" s="297">
        <v>9.8000000000000004E-2</v>
      </c>
      <c r="I226" s="682">
        <v>46.96</v>
      </c>
      <c r="J226" s="708">
        <v>0.39100000000000001</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135</v>
      </c>
      <c r="H227" s="257">
        <v>313.15899999999999</v>
      </c>
      <c r="I227" s="329">
        <v>135.69999999999999</v>
      </c>
      <c r="J227" s="711">
        <v>349.94</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113</v>
      </c>
      <c r="H228" s="257">
        <v>2.1120000000000001</v>
      </c>
      <c r="I228" s="684">
        <v>112.63</v>
      </c>
      <c r="J228" s="711">
        <v>1.954</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203.5</v>
      </c>
      <c r="H229" s="257">
        <v>0.27300000000000002</v>
      </c>
      <c r="I229" s="329">
        <v>203.8</v>
      </c>
      <c r="J229" s="711">
        <v>0.30299999999999999</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223.5</v>
      </c>
      <c r="H230" s="257">
        <v>0.38100000000000001</v>
      </c>
      <c r="I230" s="684">
        <v>223.86</v>
      </c>
      <c r="J230" s="712">
        <v>0.41499999999999998</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196.03</v>
      </c>
      <c r="J231" s="711">
        <v>0.77700000000000002</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170.57</v>
      </c>
      <c r="H232" s="257">
        <v>0.16300000000000001</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228</v>
      </c>
      <c r="H233" s="256">
        <v>0.621</v>
      </c>
      <c r="I233" s="685">
        <v>228.81</v>
      </c>
      <c r="J233" s="713">
        <v>0.69699999999999995</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248.2</v>
      </c>
      <c r="H234" s="257">
        <v>1.5669999999999999</v>
      </c>
      <c r="I234" s="684">
        <v>248.66</v>
      </c>
      <c r="J234" s="712">
        <v>1.6990000000000001</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149.11000000000001</v>
      </c>
      <c r="H235" s="257">
        <v>2.6539999999999999</v>
      </c>
      <c r="I235" s="329">
        <v>146.1</v>
      </c>
      <c r="J235" s="712">
        <v>1.1870000000000001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204.9</v>
      </c>
      <c r="J236" s="711">
        <v>3.2559999999999998</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325.3</v>
      </c>
      <c r="H237" s="258">
        <v>0.622</v>
      </c>
      <c r="I237" s="684">
        <v>325.10000000000002</v>
      </c>
      <c r="J237" s="712">
        <v>0.60199999999999998</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v>
      </c>
      <c r="H238" s="257">
        <v>0.68300000000000005</v>
      </c>
      <c r="I238" s="684">
        <v>129.19999999999999</v>
      </c>
      <c r="J238" s="711">
        <v>0.71</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282.64</v>
      </c>
      <c r="J239" s="711">
        <v>0.45100000000000001</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98.46</v>
      </c>
      <c r="H240" s="257">
        <v>2.4929999999999999</v>
      </c>
      <c r="I240" s="684">
        <v>99.04</v>
      </c>
      <c r="J240" s="712">
        <v>2.919</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189.63</v>
      </c>
      <c r="J241" s="712">
        <v>7.8E-2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169.85</v>
      </c>
      <c r="J242" s="712">
        <v>6.4000000000000001E-2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139.58000000000001</v>
      </c>
      <c r="H243" s="257">
        <v>7.1310000000000002</v>
      </c>
      <c r="I243" s="329">
        <v>140.59</v>
      </c>
      <c r="J243" s="714">
        <v>10.023999999999999</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v>
      </c>
      <c r="H244" s="297">
        <v>1.86</v>
      </c>
      <c r="I244" s="329">
        <v>239.18</v>
      </c>
      <c r="J244" s="714">
        <v>2.5224000000000002</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120.25</v>
      </c>
      <c r="H245" s="257">
        <v>3.2050000000000001</v>
      </c>
      <c r="I245" s="329">
        <v>120.7</v>
      </c>
      <c r="J245" s="711">
        <v>4.0590000000000002</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110.49</v>
      </c>
      <c r="J246" s="711">
        <v>2.64</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70.33</v>
      </c>
      <c r="H247" s="297">
        <v>31.55</v>
      </c>
      <c r="I247" s="329">
        <v>67.400000000000006</v>
      </c>
      <c r="J247" s="714">
        <v>25.63</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184.23</v>
      </c>
      <c r="H248" s="297">
        <v>359.94</v>
      </c>
      <c r="I248" s="329">
        <v>174.31</v>
      </c>
      <c r="J248" s="714">
        <v>283.61</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v>
      </c>
      <c r="H249" s="297">
        <v>5.6470000000000002</v>
      </c>
      <c r="I249" s="329">
        <v>229.64</v>
      </c>
      <c r="J249" s="714">
        <v>8.7189999999999994</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148.32</v>
      </c>
      <c r="H250" s="333">
        <v>9.93</v>
      </c>
      <c r="I250" s="316">
        <v>149.44</v>
      </c>
      <c r="J250" s="716">
        <v>11.07</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38.369999999999997</v>
      </c>
      <c r="J251" s="711">
        <v>0.40500000000000003</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1351.0919999999999</v>
      </c>
      <c r="I253" s="319"/>
      <c r="J253" s="702">
        <f>SUM(J212:J252)</f>
        <v>1533.2774000000002</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1.1348430750829701</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0.74486192814968022</v>
      </c>
      <c r="I255" s="326"/>
      <c r="J255" s="704">
        <f>+J253/F253</f>
        <v>0.8453014010536134</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15</v>
      </c>
      <c r="G257" s="566" t="s">
        <v>258</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0" t="s">
        <v>20</v>
      </c>
      <c r="F258" s="861"/>
      <c r="G258" s="860" t="s">
        <v>94</v>
      </c>
      <c r="H258" s="861"/>
      <c r="I258" s="862" t="s">
        <v>22</v>
      </c>
      <c r="J258" s="863"/>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52.89</v>
      </c>
      <c r="H262" s="256">
        <v>16.565999999999999</v>
      </c>
      <c r="I262" s="665">
        <v>55.63</v>
      </c>
      <c r="J262" s="665">
        <v>30.321999999999999</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337.23</v>
      </c>
      <c r="H263" s="297">
        <v>5.81</v>
      </c>
      <c r="I263" s="329">
        <v>339.5</v>
      </c>
      <c r="J263" s="708">
        <v>7.77</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70.63</v>
      </c>
      <c r="H264" s="297">
        <v>14.782999999999999</v>
      </c>
      <c r="I264" s="329">
        <v>77.540000000000006</v>
      </c>
      <c r="J264" s="708">
        <v>49.281999999999996</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462.47</v>
      </c>
      <c r="H265" s="329">
        <v>37.220999999999997</v>
      </c>
      <c r="I265" s="315">
        <v>461.83</v>
      </c>
      <c r="J265" s="256">
        <v>26.315000000000001</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206.45</v>
      </c>
      <c r="H266" s="258">
        <v>8.8480000000000008</v>
      </c>
      <c r="I266" s="664">
        <v>207.04</v>
      </c>
      <c r="J266" s="256">
        <v>9.56</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318.92</v>
      </c>
      <c r="H267" s="258">
        <v>4.6500000000000004</v>
      </c>
      <c r="I267" s="664">
        <v>320.04000000000002</v>
      </c>
      <c r="J267" s="256">
        <v>5.1710000000000003</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86.97</v>
      </c>
      <c r="H268" s="257">
        <v>543.30799999999999</v>
      </c>
      <c r="I268" s="664">
        <v>89.91</v>
      </c>
      <c r="J268" s="256">
        <v>678.69899999999996</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118.9</v>
      </c>
      <c r="H269" s="297">
        <v>1.1040000000000001</v>
      </c>
      <c r="I269" s="331">
        <v>120.11</v>
      </c>
      <c r="J269" s="256">
        <v>1.617</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117.08</v>
      </c>
      <c r="H270" s="297">
        <v>0.40100000000000002</v>
      </c>
      <c r="I270" s="664">
        <v>120.08</v>
      </c>
      <c r="J270" s="256">
        <v>1.4590000000000001</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43.13</v>
      </c>
      <c r="H271" s="257">
        <v>2.016</v>
      </c>
      <c r="I271" s="664">
        <v>46.46</v>
      </c>
      <c r="J271" s="256">
        <v>4.1559999999999997</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48.24</v>
      </c>
      <c r="H272" s="257">
        <v>1.3160000000000001</v>
      </c>
      <c r="I272" s="668">
        <v>51.5</v>
      </c>
      <c r="J272" s="256">
        <v>2.5779999999999998</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78.33</v>
      </c>
      <c r="H273" s="620">
        <v>0.79800000000000004</v>
      </c>
      <c r="I273" s="664">
        <v>78.72</v>
      </c>
      <c r="J273" s="256">
        <v>1.0429999999999999</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82.21</v>
      </c>
      <c r="H274" s="297">
        <v>0.33100000000000002</v>
      </c>
      <c r="I274" s="664">
        <v>81.44</v>
      </c>
      <c r="J274" s="256">
        <v>5.2999999999999999E-2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63.31</v>
      </c>
      <c r="H275" s="257">
        <v>0.192</v>
      </c>
      <c r="I275" s="664">
        <v>63.73</v>
      </c>
      <c r="J275" s="256">
        <v>0.22</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44.98</v>
      </c>
      <c r="H276" s="297">
        <v>9.8000000000000004E-2</v>
      </c>
      <c r="I276" s="664">
        <v>47.11</v>
      </c>
      <c r="J276" s="256">
        <v>0.39800000000000002</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135</v>
      </c>
      <c r="H277" s="257">
        <v>313.15899999999999</v>
      </c>
      <c r="I277" s="257">
        <v>135.72999999999999</v>
      </c>
      <c r="J277" s="718">
        <v>351.56</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113</v>
      </c>
      <c r="H278" s="257">
        <v>2.1120000000000001</v>
      </c>
      <c r="I278" s="258">
        <v>112.8</v>
      </c>
      <c r="J278" s="718">
        <v>2.0259999999999998</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203.5</v>
      </c>
      <c r="H279" s="257">
        <v>0.27300000000000002</v>
      </c>
      <c r="I279" s="257">
        <v>203.8</v>
      </c>
      <c r="J279" s="718">
        <v>0.30299999999999999</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223.5</v>
      </c>
      <c r="H280" s="257">
        <v>0.38100000000000001</v>
      </c>
      <c r="I280" s="258">
        <v>223.92</v>
      </c>
      <c r="J280" s="719">
        <v>0.42099999999999999</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196.03</v>
      </c>
      <c r="J281" s="718">
        <v>0.77700000000000002</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170.57</v>
      </c>
      <c r="H282" s="257">
        <v>0.16300000000000001</v>
      </c>
      <c r="I282" s="258">
        <v>166</v>
      </c>
      <c r="J282" s="718">
        <v>0</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228</v>
      </c>
      <c r="H283" s="256">
        <v>0.621</v>
      </c>
      <c r="I283" s="368">
        <v>228.99</v>
      </c>
      <c r="J283" s="720">
        <v>0.71299999999999997</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248.2</v>
      </c>
      <c r="H284" s="257">
        <v>1.5669999999999999</v>
      </c>
      <c r="I284" s="258">
        <v>248.67</v>
      </c>
      <c r="J284" s="719">
        <v>1.6990000000000001</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149.01</v>
      </c>
      <c r="H285" s="257">
        <v>2.597</v>
      </c>
      <c r="I285" s="257">
        <v>146</v>
      </c>
      <c r="J285" s="719">
        <v>1.1419999999999999</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204.86</v>
      </c>
      <c r="J286" s="718">
        <v>3.2320000000000002</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325.3</v>
      </c>
      <c r="H287" s="258">
        <v>0.622</v>
      </c>
      <c r="I287" s="258">
        <v>325.10000000000002</v>
      </c>
      <c r="J287" s="719">
        <v>0.60199999999999998</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v>
      </c>
      <c r="H288" s="257">
        <v>0.68300000000000005</v>
      </c>
      <c r="I288" s="258">
        <v>129.19999999999999</v>
      </c>
      <c r="J288" s="718">
        <v>0.71</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282.81</v>
      </c>
      <c r="J289" s="718">
        <v>0.47</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98.5</v>
      </c>
      <c r="H290" s="257">
        <v>2.5219999999999998</v>
      </c>
      <c r="I290" s="258">
        <v>99.07</v>
      </c>
      <c r="J290" s="719">
        <v>2.9359999999999999</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189.59</v>
      </c>
      <c r="J291" s="719">
        <v>7.8E-2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170</v>
      </c>
      <c r="J292" s="719">
        <v>6.8000000000000005E-2</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139.68</v>
      </c>
      <c r="H293" s="257">
        <v>7.399</v>
      </c>
      <c r="I293" s="257">
        <v>140.69</v>
      </c>
      <c r="J293" s="721">
        <v>10.204000000000001</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237.87</v>
      </c>
      <c r="H294" s="297">
        <v>1.792</v>
      </c>
      <c r="I294" s="656">
        <v>239.18</v>
      </c>
      <c r="J294" s="722">
        <v>2.52</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120.25</v>
      </c>
      <c r="H295" s="257">
        <v>3.2050000000000001</v>
      </c>
      <c r="I295" s="257">
        <v>120.71</v>
      </c>
      <c r="J295" s="718">
        <v>4.0780000000000003</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110.49</v>
      </c>
      <c r="J296" s="718">
        <v>2.6360000000000001</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70.33</v>
      </c>
      <c r="H297" s="297">
        <v>31.55</v>
      </c>
      <c r="I297" s="257">
        <v>67.48</v>
      </c>
      <c r="J297" s="721">
        <v>25.78</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184.23</v>
      </c>
      <c r="H298" s="297">
        <v>359.94</v>
      </c>
      <c r="I298" s="257">
        <v>174.33</v>
      </c>
      <c r="J298" s="714">
        <v>283.8</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v>
      </c>
      <c r="H299" s="297">
        <v>5.6470000000000002</v>
      </c>
      <c r="I299" s="257">
        <v>229.33</v>
      </c>
      <c r="J299" s="721">
        <v>7.1580000000000004</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147.21</v>
      </c>
      <c r="H300" s="333">
        <v>8.85</v>
      </c>
      <c r="I300" s="316">
        <v>149.5</v>
      </c>
      <c r="J300" s="716">
        <v>11.12</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38.369999999999997</v>
      </c>
      <c r="J301" s="718">
        <v>0.40500000000000003</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1350.1839999999997</v>
      </c>
      <c r="I303" s="319"/>
      <c r="J303" s="281">
        <f>SUM(J262:J302)</f>
        <v>1533.8339999999996</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1.1360184982195018</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0.7443613444508943</v>
      </c>
      <c r="I305" s="326"/>
      <c r="J305" s="267">
        <f>+J303/F303</f>
        <v>0.84560825665575434</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14</v>
      </c>
      <c r="G307" s="566" t="s">
        <v>258</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0" t="s">
        <v>20</v>
      </c>
      <c r="F308" s="861"/>
      <c r="G308" s="468" t="s">
        <v>94</v>
      </c>
      <c r="H308" s="469"/>
      <c r="I308" s="860" t="s">
        <v>22</v>
      </c>
      <c r="J308" s="861"/>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52.89</v>
      </c>
      <c r="H312" s="447">
        <v>16.565999999999999</v>
      </c>
      <c r="I312" s="670">
        <v>55.64</v>
      </c>
      <c r="J312" s="707">
        <v>29.814</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337.23</v>
      </c>
      <c r="H313" s="297">
        <v>5.81</v>
      </c>
      <c r="I313" s="257">
        <v>339.5</v>
      </c>
      <c r="J313" s="708">
        <v>7.77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70.63</v>
      </c>
      <c r="H314" s="297">
        <v>14.782999999999999</v>
      </c>
      <c r="I314" s="257">
        <v>77.510000000000005</v>
      </c>
      <c r="J314" s="708">
        <v>49.085000000000001</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462.47</v>
      </c>
      <c r="H315" s="329">
        <v>37.220999999999997</v>
      </c>
      <c r="I315" s="315">
        <v>461.87</v>
      </c>
      <c r="J315" s="709">
        <v>26.925999999999998</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206.45</v>
      </c>
      <c r="H316" s="258">
        <v>8.8480000000000008</v>
      </c>
      <c r="I316" s="664">
        <v>207.02</v>
      </c>
      <c r="J316" s="708">
        <v>9.5299999999999994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318.92</v>
      </c>
      <c r="H317" s="258">
        <v>4.6500000000000004</v>
      </c>
      <c r="I317" s="664">
        <v>320.01</v>
      </c>
      <c r="J317" s="708">
        <v>5.1559999999999997</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86.97</v>
      </c>
      <c r="H318" s="257">
        <v>543.30799999999999</v>
      </c>
      <c r="I318" s="664">
        <v>89.86</v>
      </c>
      <c r="J318" s="708">
        <v>676.21100000000001</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118.9</v>
      </c>
      <c r="H319" s="297">
        <v>1.1040000000000001</v>
      </c>
      <c r="I319" s="331">
        <v>120.13</v>
      </c>
      <c r="J319" s="708">
        <v>1.625</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117.08</v>
      </c>
      <c r="H320" s="297">
        <v>0.40100000000000002</v>
      </c>
      <c r="I320" s="671">
        <v>120.08</v>
      </c>
      <c r="J320" s="710">
        <v>1.4590000000000001</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43.13</v>
      </c>
      <c r="H321" s="257">
        <v>2.016</v>
      </c>
      <c r="I321" s="664">
        <v>46.46</v>
      </c>
      <c r="J321" s="708">
        <v>4.1559999999999997</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48.24</v>
      </c>
      <c r="H322" s="257">
        <v>1.3160000000000001</v>
      </c>
      <c r="I322" s="668">
        <v>51.5</v>
      </c>
      <c r="J322" s="708">
        <v>2.5779999999999998</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78.33</v>
      </c>
      <c r="H323" s="620">
        <v>0.79800000000000004</v>
      </c>
      <c r="I323" s="664">
        <v>78.73</v>
      </c>
      <c r="J323" s="708">
        <v>1.044</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82.21</v>
      </c>
      <c r="H324" s="297">
        <v>0.33100000000000002</v>
      </c>
      <c r="I324" s="664">
        <v>81.540000000000006</v>
      </c>
      <c r="J324" s="708">
        <v>5.8000000000000003E-2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63.31</v>
      </c>
      <c r="H325" s="257">
        <v>0.192</v>
      </c>
      <c r="I325" s="664">
        <v>63.73</v>
      </c>
      <c r="J325" s="708">
        <v>0.22</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44.98</v>
      </c>
      <c r="H326" s="297">
        <v>9.8000000000000004E-2</v>
      </c>
      <c r="I326" s="664">
        <v>46.81</v>
      </c>
      <c r="J326" s="708">
        <v>0.36699999999999999</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135</v>
      </c>
      <c r="H327" s="257">
        <v>313.15899999999999</v>
      </c>
      <c r="I327" s="257">
        <v>135.77000000000001</v>
      </c>
      <c r="J327" s="711">
        <v>353.72</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113</v>
      </c>
      <c r="H328" s="257">
        <v>2.1120000000000001</v>
      </c>
      <c r="I328" s="258">
        <v>112.9</v>
      </c>
      <c r="J328" s="711">
        <v>2.0699999999999998</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203.5</v>
      </c>
      <c r="H329" s="257">
        <v>0.27300000000000002</v>
      </c>
      <c r="I329" s="257">
        <v>203.9</v>
      </c>
      <c r="J329" s="711">
        <v>0.31</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223.5</v>
      </c>
      <c r="H330" s="257">
        <v>0.38100000000000001</v>
      </c>
      <c r="I330" s="258">
        <v>224</v>
      </c>
      <c r="J330" s="712">
        <v>0.43</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196.03</v>
      </c>
      <c r="J331" s="711">
        <v>0.77700000000000002</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170.57</v>
      </c>
      <c r="H332" s="257">
        <v>0.16300000000000001</v>
      </c>
      <c r="I332" s="258">
        <v>166</v>
      </c>
      <c r="J332" s="711" t="s">
        <v>38</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228</v>
      </c>
      <c r="H333" s="256">
        <v>0.621</v>
      </c>
      <c r="I333" s="368">
        <v>228.99</v>
      </c>
      <c r="J333" s="713">
        <v>0.71</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248.2</v>
      </c>
      <c r="H334" s="257">
        <v>1.5669999999999999</v>
      </c>
      <c r="I334" s="258">
        <v>248.69</v>
      </c>
      <c r="J334" s="712">
        <v>1.71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149.01</v>
      </c>
      <c r="H335" s="257">
        <v>2.597</v>
      </c>
      <c r="I335" s="257">
        <v>145.94999999999999</v>
      </c>
      <c r="J335" s="712">
        <v>1.1200000000000001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204.86</v>
      </c>
      <c r="J336" s="711">
        <v>3.23</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325.3</v>
      </c>
      <c r="H337" s="258">
        <v>0.622</v>
      </c>
      <c r="I337" s="258">
        <v>325.10000000000002</v>
      </c>
      <c r="J337" s="712">
        <v>0.6</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v>
      </c>
      <c r="H338" s="257">
        <v>0.68300000000000005</v>
      </c>
      <c r="I338" s="258">
        <v>129.19999999999999</v>
      </c>
      <c r="J338" s="711">
        <v>0.71</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282.91000000000003</v>
      </c>
      <c r="J339" s="711">
        <v>0.48</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98.5</v>
      </c>
      <c r="H340" s="257">
        <v>2.5219999999999998</v>
      </c>
      <c r="I340" s="257">
        <v>99.05</v>
      </c>
      <c r="J340" s="711">
        <v>2.93</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189.59</v>
      </c>
      <c r="J341" s="712">
        <v>0.08</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170.06</v>
      </c>
      <c r="J342" s="712">
        <v>7.0000000000000007E-2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139.68</v>
      </c>
      <c r="H343" s="257">
        <v>7.399</v>
      </c>
      <c r="I343" s="257">
        <v>140.4</v>
      </c>
      <c r="J343" s="714">
        <v>9.4600000000000009</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237.87</v>
      </c>
      <c r="H344" s="297">
        <v>1.792</v>
      </c>
      <c r="I344" s="257">
        <v>239.03</v>
      </c>
      <c r="J344" s="714">
        <v>2.42</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120.25</v>
      </c>
      <c r="H345" s="257">
        <v>3.2050000000000001</v>
      </c>
      <c r="I345" s="257">
        <v>120.72</v>
      </c>
      <c r="J345" s="711">
        <v>4.0999999999999996</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110.51</v>
      </c>
      <c r="J346" s="711">
        <v>2.66</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70.3</v>
      </c>
      <c r="H347" s="297">
        <v>31.48</v>
      </c>
      <c r="I347" s="257">
        <v>67.55</v>
      </c>
      <c r="J347" s="714">
        <v>25.92</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181.56</v>
      </c>
      <c r="H348" s="297">
        <v>352.96</v>
      </c>
      <c r="I348" s="257">
        <v>174.37</v>
      </c>
      <c r="J348" s="714">
        <v>284.17</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v>
      </c>
      <c r="H349" s="297">
        <v>5.6470000000000002</v>
      </c>
      <c r="I349" s="257">
        <v>229.42</v>
      </c>
      <c r="J349" s="715">
        <v>7.5970000000000004</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147.21</v>
      </c>
      <c r="H350" s="333">
        <v>8.85</v>
      </c>
      <c r="I350" s="316">
        <v>149.49</v>
      </c>
      <c r="J350" s="716">
        <v>11.11</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38.369999999999997</v>
      </c>
      <c r="J351" s="717">
        <v>0.40500000000000003</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1343.1339999999998</v>
      </c>
      <c r="I353" s="319"/>
      <c r="J353" s="281">
        <f>SUM(J312:J352)</f>
        <v>1533.5409999999997</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1.1417632194553931</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0.74047465383807509</v>
      </c>
      <c r="I355" s="326"/>
      <c r="J355" s="267">
        <f>+J353/F353</f>
        <v>0.84544672469127835</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topLeftCell="A4"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III MARET ( 14 MARET S/D 20 MARET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55.85</v>
      </c>
      <c r="G9" s="579">
        <f>+UTAMA!I11</f>
        <v>55.53</v>
      </c>
      <c r="H9" s="580">
        <f>+UTAMA!H11</f>
        <v>31.722000000000001</v>
      </c>
      <c r="I9" s="580">
        <f>+UTAMA!J11</f>
        <v>29.757999999999999</v>
      </c>
      <c r="J9" s="175">
        <f>IFERROR(+I9/H9*100%*100,0)</f>
        <v>93.808713195889283</v>
      </c>
      <c r="K9" s="176"/>
    </row>
    <row r="10" spans="2:12" ht="15" customHeight="1" x14ac:dyDescent="0.2">
      <c r="B10" s="574">
        <f t="shared" ref="B10:B16" si="0">+B9+1</f>
        <v>2</v>
      </c>
      <c r="C10" s="576" t="s">
        <v>30</v>
      </c>
      <c r="D10" s="577">
        <v>17481</v>
      </c>
      <c r="E10" s="578">
        <f>UTAMA!F13</f>
        <v>45.13</v>
      </c>
      <c r="F10" s="578">
        <f>+UTAMA!G13</f>
        <v>75.94</v>
      </c>
      <c r="G10" s="581">
        <f>+UTAMA!I13</f>
        <v>77.3</v>
      </c>
      <c r="H10" s="582">
        <f>+UTAMA!H13</f>
        <v>39.430999999999997</v>
      </c>
      <c r="I10" s="583">
        <f>+UTAMA!J13</f>
        <v>47.722999999999999</v>
      </c>
      <c r="J10" s="175">
        <f>IFERROR(+I10/H10*100%*100,0)</f>
        <v>121.02913950952296</v>
      </c>
      <c r="K10" s="176"/>
    </row>
    <row r="11" spans="2:12" ht="15" customHeight="1" x14ac:dyDescent="0.2">
      <c r="B11" s="574">
        <f t="shared" si="0"/>
        <v>3</v>
      </c>
      <c r="C11" s="576" t="s">
        <v>31</v>
      </c>
      <c r="D11" s="577">
        <v>19972</v>
      </c>
      <c r="E11" s="578">
        <f>UTAMA!F14</f>
        <v>49.9</v>
      </c>
      <c r="F11" s="578">
        <f>+UTAMA!G14</f>
        <v>462.47</v>
      </c>
      <c r="G11" s="581">
        <f>+UTAMA!I14</f>
        <v>461.75</v>
      </c>
      <c r="H11" s="582">
        <f>+UTAMA!H14</f>
        <v>37.220999999999997</v>
      </c>
      <c r="I11" s="583">
        <f>+UTAMA!J14</f>
        <v>25.122</v>
      </c>
      <c r="J11" s="175">
        <f t="shared" ref="J11:J17" si="1">IFERROR(+I11/H11*100%*100,0)</f>
        <v>67.494156524542603</v>
      </c>
      <c r="K11" s="176"/>
      <c r="L11" s="397"/>
    </row>
    <row r="12" spans="2:12" ht="15" customHeight="1" x14ac:dyDescent="0.2">
      <c r="B12" s="574">
        <v>1</v>
      </c>
      <c r="C12" s="576" t="s">
        <v>34</v>
      </c>
      <c r="D12" s="577">
        <v>59544</v>
      </c>
      <c r="E12" s="578">
        <v>689.09</v>
      </c>
      <c r="F12" s="578">
        <f>+UTAMA!G17</f>
        <v>86.97</v>
      </c>
      <c r="G12" s="578">
        <f>+UTAMA!I17</f>
        <v>89.94</v>
      </c>
      <c r="H12" s="582">
        <f>+UTAMA!H17</f>
        <v>543.30799999999999</v>
      </c>
      <c r="I12" s="582">
        <f>UTAMA!J17</f>
        <v>680.19500000000005</v>
      </c>
      <c r="J12" s="175">
        <f>IFERROR(+I12/H12*100%*100,0)</f>
        <v>125.19510112127929</v>
      </c>
      <c r="K12" s="177"/>
    </row>
    <row r="13" spans="2:12" ht="15" customHeight="1" x14ac:dyDescent="0.2">
      <c r="B13" s="574">
        <f t="shared" si="0"/>
        <v>2</v>
      </c>
      <c r="C13" s="576" t="s">
        <v>44</v>
      </c>
      <c r="D13" s="577">
        <v>28109</v>
      </c>
      <c r="E13" s="678">
        <f>UTAMA!F26</f>
        <v>398.69</v>
      </c>
      <c r="F13" s="578">
        <f>+UTAMA!G26</f>
        <v>135</v>
      </c>
      <c r="G13" s="581">
        <f>+UTAMA!I26</f>
        <v>135.72</v>
      </c>
      <c r="H13" s="580">
        <f>+UTAMA!H26</f>
        <v>313.15899999999999</v>
      </c>
      <c r="I13" s="580">
        <f>+UTAMA!J26</f>
        <v>351.02</v>
      </c>
      <c r="J13" s="175">
        <f t="shared" si="1"/>
        <v>112.09002455621584</v>
      </c>
      <c r="K13" s="177"/>
    </row>
    <row r="14" spans="2:12" ht="15" customHeight="1" x14ac:dyDescent="0.2">
      <c r="B14" s="574">
        <f t="shared" si="0"/>
        <v>3</v>
      </c>
      <c r="C14" s="576" t="s">
        <v>64</v>
      </c>
      <c r="D14" s="577">
        <v>6485</v>
      </c>
      <c r="E14" s="578">
        <f>UTAMA!F46</f>
        <v>38.036000000000001</v>
      </c>
      <c r="F14" s="578">
        <f>+UTAMA!G46</f>
        <v>70.33</v>
      </c>
      <c r="G14" s="581">
        <f>+UTAMA!I46</f>
        <v>66.78</v>
      </c>
      <c r="H14" s="582">
        <f>+UTAMA!H46</f>
        <v>31.55</v>
      </c>
      <c r="I14" s="583">
        <f>+UTAMA!J46</f>
        <v>24.43</v>
      </c>
      <c r="J14" s="175">
        <f t="shared" si="1"/>
        <v>77.432646592709986</v>
      </c>
      <c r="K14" s="177"/>
    </row>
    <row r="15" spans="2:12" ht="15" customHeight="1" x14ac:dyDescent="0.2">
      <c r="B15" s="574">
        <f t="shared" si="0"/>
        <v>4</v>
      </c>
      <c r="C15" s="576" t="s">
        <v>65</v>
      </c>
      <c r="D15" s="577">
        <v>31109</v>
      </c>
      <c r="E15" s="578">
        <f>UTAMA!F47</f>
        <v>388.72199999999998</v>
      </c>
      <c r="F15" s="578">
        <f>+UTAMA!G47</f>
        <v>184.23</v>
      </c>
      <c r="G15" s="581">
        <f>+UTAMA!I47</f>
        <v>174.71</v>
      </c>
      <c r="H15" s="582">
        <f>+UTAMA!H47</f>
        <v>359.94</v>
      </c>
      <c r="I15" s="583">
        <f>+UTAMA!J47</f>
        <v>287.35000000000002</v>
      </c>
      <c r="J15" s="175">
        <f t="shared" si="1"/>
        <v>79.832749902761577</v>
      </c>
      <c r="K15" s="177"/>
    </row>
    <row r="16" spans="2:12" ht="15" customHeight="1" x14ac:dyDescent="0.2">
      <c r="B16" s="574">
        <f t="shared" si="0"/>
        <v>5</v>
      </c>
      <c r="C16" s="576" t="s">
        <v>66</v>
      </c>
      <c r="D16" s="577">
        <v>8400</v>
      </c>
      <c r="E16" s="578">
        <f>UTAMA!F48</f>
        <v>23.24</v>
      </c>
      <c r="F16" s="578">
        <f>+UTAMA!G48</f>
        <v>229.02</v>
      </c>
      <c r="G16" s="581">
        <f>+UTAMA!I48</f>
        <v>229.92</v>
      </c>
      <c r="H16" s="582">
        <f>+UTAMA!H48</f>
        <v>5.734</v>
      </c>
      <c r="I16" s="583">
        <f>+UTAMA!J48</f>
        <v>10.247999999999999</v>
      </c>
      <c r="J16" s="175">
        <f t="shared" si="1"/>
        <v>178.72340425531914</v>
      </c>
      <c r="K16" s="177"/>
      <c r="L16" s="397"/>
    </row>
    <row r="17" spans="2:11" ht="15" customHeight="1" x14ac:dyDescent="0.2">
      <c r="B17" s="574">
        <v>9</v>
      </c>
      <c r="C17" s="576" t="s">
        <v>218</v>
      </c>
      <c r="D17" s="577">
        <v>0</v>
      </c>
      <c r="E17" s="426">
        <f>UTAMA!F49</f>
        <v>17.670000000000002</v>
      </c>
      <c r="F17" s="578">
        <f>+UTAMA!G49</f>
        <v>148.32</v>
      </c>
      <c r="G17" s="581">
        <f>+UTAMA!I49</f>
        <v>149.44</v>
      </c>
      <c r="H17" s="582">
        <f>+UTAMA!H49</f>
        <v>9.93</v>
      </c>
      <c r="I17" s="583">
        <f>+UTAMA!J49</f>
        <v>11.07</v>
      </c>
      <c r="J17" s="175">
        <f t="shared" si="1"/>
        <v>111.48036253776436</v>
      </c>
      <c r="K17" s="177"/>
    </row>
    <row r="18" spans="2:11" ht="15" customHeight="1" thickBot="1" x14ac:dyDescent="0.25">
      <c r="B18" s="584"/>
      <c r="C18" s="585" t="s">
        <v>89</v>
      </c>
      <c r="D18" s="586">
        <f>SUM(D9:D16)</f>
        <v>206262</v>
      </c>
      <c r="E18" s="587">
        <f>SUM(E9:E17)</f>
        <v>1681.6225980000002</v>
      </c>
      <c r="F18" s="587"/>
      <c r="G18" s="586"/>
      <c r="H18" s="588">
        <f>SUM(H9:H17)</f>
        <v>1371.9949999999999</v>
      </c>
      <c r="I18" s="588">
        <f>SUM(I9:I17)</f>
        <v>1466.9159999999999</v>
      </c>
      <c r="J18" s="589">
        <f>I18/H18*100</f>
        <v>106.91846544630266</v>
      </c>
      <c r="K18" s="424"/>
    </row>
    <row r="19" spans="2:11" ht="15" customHeight="1" thickBot="1" x14ac:dyDescent="0.25">
      <c r="B19" s="590"/>
      <c r="C19" s="591" t="s">
        <v>69</v>
      </c>
      <c r="D19" s="591"/>
      <c r="E19" s="592"/>
      <c r="F19" s="593"/>
      <c r="G19" s="594"/>
      <c r="H19" s="595" t="s">
        <v>95</v>
      </c>
      <c r="I19" s="596">
        <f>+I18/H18*100%</f>
        <v>1.0691846544630266</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5</v>
      </c>
      <c r="K22" s="171"/>
    </row>
    <row r="23" spans="2:11" ht="15" customHeight="1" x14ac:dyDescent="0.2">
      <c r="B23" s="597"/>
      <c r="C23" s="597" t="s">
        <v>100</v>
      </c>
      <c r="D23" s="599" t="s">
        <v>98</v>
      </c>
      <c r="E23" s="599"/>
      <c r="F23" s="597" t="s">
        <v>101</v>
      </c>
      <c r="G23" s="597"/>
      <c r="H23" s="597"/>
      <c r="I23" s="170" t="s">
        <v>177</v>
      </c>
      <c r="J23" s="601">
        <f>COUNTIFS(J9:J17,"&gt;=85",J9:J17,"&lt;=100")</f>
        <v>1</v>
      </c>
      <c r="K23" s="171"/>
    </row>
    <row r="24" spans="2:11" ht="15" customHeight="1" x14ac:dyDescent="0.2">
      <c r="B24" s="597"/>
      <c r="C24" s="597" t="s">
        <v>102</v>
      </c>
      <c r="D24" s="599" t="s">
        <v>98</v>
      </c>
      <c r="E24" s="599"/>
      <c r="F24" s="597" t="s">
        <v>103</v>
      </c>
      <c r="G24" s="597"/>
      <c r="H24" s="597"/>
      <c r="I24" s="170" t="s">
        <v>177</v>
      </c>
      <c r="J24" s="602">
        <f>COUNTIFS(J9:J17,"&gt;0",J9:J17,"&lt;85")</f>
        <v>3</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topLeftCell="A4" zoomScale="90" zoomScaleNormal="90" workbookViewId="0">
      <selection activeCell="A5" sqref="A5:J4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III MARET ( 14 MARET S/D 20 MARET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339.39</v>
      </c>
      <c r="G9" s="619">
        <f>+UTAMA!I12</f>
        <v>339.54</v>
      </c>
      <c r="H9" s="620">
        <f>+UTAMA!H12</f>
        <v>7.68</v>
      </c>
      <c r="I9" s="620">
        <f>+UTAMA!J12</f>
        <v>7.8</v>
      </c>
      <c r="J9" s="621">
        <f t="shared" ref="J9:J40" si="0">IFERROR(+I9/H9*100%*100,0)</f>
        <v>101.5625</v>
      </c>
    </row>
    <row r="10" spans="2:10" ht="15.75" hidden="1" x14ac:dyDescent="0.2">
      <c r="B10" s="612">
        <f>1+B9</f>
        <v>2</v>
      </c>
      <c r="C10" s="615" t="s">
        <v>32</v>
      </c>
      <c r="D10" s="616">
        <v>4959</v>
      </c>
      <c r="E10" s="617">
        <f>UTAMA!F15</f>
        <v>9.5030000000000001</v>
      </c>
      <c r="F10" s="618">
        <f>+UTAMA!G15</f>
        <v>206.45</v>
      </c>
      <c r="G10" s="619">
        <f>+UTAMA!I15</f>
        <v>207.04</v>
      </c>
      <c r="H10" s="620">
        <f>+UTAMA!H15</f>
        <v>8.8480000000000008</v>
      </c>
      <c r="I10" s="620">
        <f>UTAMA!J15</f>
        <v>9.56</v>
      </c>
      <c r="J10" s="621">
        <f t="shared" si="0"/>
        <v>108.04701627486438</v>
      </c>
    </row>
    <row r="11" spans="2:10" ht="15.75" hidden="1" x14ac:dyDescent="0.2">
      <c r="B11" s="612">
        <f t="shared" ref="B11:B40" si="1">+B10+1</f>
        <v>3</v>
      </c>
      <c r="C11" s="615" t="s">
        <v>33</v>
      </c>
      <c r="D11" s="616">
        <v>6052</v>
      </c>
      <c r="E11" s="617">
        <f>UTAMA!F16</f>
        <v>5.1509999999999998</v>
      </c>
      <c r="F11" s="618">
        <f>+UTAMA!G16</f>
        <v>318.92</v>
      </c>
      <c r="G11" s="619">
        <f>+UTAMA!I16</f>
        <v>320.04000000000002</v>
      </c>
      <c r="H11" s="620">
        <f>+UTAMA!H16</f>
        <v>4.6500000000000004</v>
      </c>
      <c r="I11" s="620">
        <f>UTAMA!J16</f>
        <v>5.1710000000000003</v>
      </c>
      <c r="J11" s="621">
        <f t="shared" si="0"/>
        <v>111.20430107526882</v>
      </c>
    </row>
    <row r="12" spans="2:10" ht="15.75" hidden="1" x14ac:dyDescent="0.2">
      <c r="B12" s="612">
        <f t="shared" si="1"/>
        <v>4</v>
      </c>
      <c r="C12" s="615" t="s">
        <v>35</v>
      </c>
      <c r="D12" s="616">
        <v>923</v>
      </c>
      <c r="E12" s="617">
        <f>UTAMA!F18</f>
        <v>2.0920000000000001</v>
      </c>
      <c r="F12" s="618">
        <f>+UTAMA!G18</f>
        <v>118.9</v>
      </c>
      <c r="G12" s="622">
        <f>+UTAMA!I18</f>
        <v>119.9</v>
      </c>
      <c r="H12" s="620">
        <f>+UTAMA!H18</f>
        <v>1.1040000000000001</v>
      </c>
      <c r="I12" s="623">
        <f>UTAMA!J18</f>
        <v>1.528</v>
      </c>
      <c r="J12" s="621">
        <f t="shared" si="0"/>
        <v>138.40579710144928</v>
      </c>
    </row>
    <row r="13" spans="2:10" ht="15.75" hidden="1" x14ac:dyDescent="0.2">
      <c r="B13" s="612">
        <f t="shared" si="1"/>
        <v>5</v>
      </c>
      <c r="C13" s="615" t="s">
        <v>36</v>
      </c>
      <c r="D13" s="616">
        <v>251</v>
      </c>
      <c r="E13" s="617">
        <f>UTAMA!F19</f>
        <v>2.3530000000000002</v>
      </c>
      <c r="F13" s="618">
        <f>+UTAMA!G19</f>
        <v>117.08</v>
      </c>
      <c r="G13" s="622">
        <f>+UTAMA!I19</f>
        <v>120.03</v>
      </c>
      <c r="H13" s="620">
        <f>+UTAMA!H19</f>
        <v>0.40100000000000002</v>
      </c>
      <c r="I13" s="623">
        <f>UTAMA!J19</f>
        <v>1.4359999999999999</v>
      </c>
      <c r="J13" s="621">
        <f t="shared" si="0"/>
        <v>358.10473815461341</v>
      </c>
    </row>
    <row r="14" spans="2:10" ht="15.75" hidden="1" x14ac:dyDescent="0.2">
      <c r="B14" s="612">
        <f t="shared" si="1"/>
        <v>6</v>
      </c>
      <c r="C14" s="615" t="s">
        <v>37</v>
      </c>
      <c r="D14" s="616">
        <v>440</v>
      </c>
      <c r="E14" s="617">
        <f>UTAMA!F20</f>
        <v>4.5999999999999996</v>
      </c>
      <c r="F14" s="618">
        <f>+UTAMA!G20</f>
        <v>43.13</v>
      </c>
      <c r="G14" s="622">
        <f>+UTAMA!I20</f>
        <v>46.52</v>
      </c>
      <c r="H14" s="620">
        <f>+UTAMA!H20</f>
        <v>2.016</v>
      </c>
      <c r="I14" s="623">
        <f>UTAMA!J20</f>
        <v>4.218</v>
      </c>
      <c r="J14" s="621">
        <f t="shared" si="0"/>
        <v>209.22619047619045</v>
      </c>
    </row>
    <row r="15" spans="2:10" ht="15.75" hidden="1" x14ac:dyDescent="0.2">
      <c r="B15" s="612">
        <f t="shared" si="1"/>
        <v>7</v>
      </c>
      <c r="C15" s="615" t="s">
        <v>39</v>
      </c>
      <c r="D15" s="616">
        <v>775</v>
      </c>
      <c r="E15" s="617">
        <f>UTAMA!F21</f>
        <v>2.4159999999999999</v>
      </c>
      <c r="F15" s="618">
        <f>+UTAMA!G21</f>
        <v>48.24</v>
      </c>
      <c r="G15" s="619">
        <f>+UTAMA!I21</f>
        <v>51.5</v>
      </c>
      <c r="H15" s="620">
        <f>+UTAMA!H21</f>
        <v>1.3160000000000001</v>
      </c>
      <c r="I15" s="620">
        <f>UTAMA!J21</f>
        <v>2.5779999999999998</v>
      </c>
      <c r="J15" s="621">
        <f t="shared" si="0"/>
        <v>195.89665653495439</v>
      </c>
    </row>
    <row r="16" spans="2:10" ht="15.75" hidden="1" x14ac:dyDescent="0.2">
      <c r="B16" s="612">
        <f t="shared" si="1"/>
        <v>8</v>
      </c>
      <c r="C16" s="615" t="s">
        <v>40</v>
      </c>
      <c r="D16" s="616">
        <v>750</v>
      </c>
      <c r="E16" s="617">
        <f>UTAMA!F22</f>
        <v>1.093</v>
      </c>
      <c r="F16" s="618">
        <f>+UTAMA!G22</f>
        <v>78.33</v>
      </c>
      <c r="G16" s="619">
        <f>+UTAMA!I22</f>
        <v>78.61</v>
      </c>
      <c r="H16" s="620">
        <f>+UTAMA!H22</f>
        <v>0.79800000000000004</v>
      </c>
      <c r="I16" s="620">
        <f>UTAMA!J22</f>
        <v>1.0229999999999999</v>
      </c>
      <c r="J16" s="621">
        <f t="shared" si="0"/>
        <v>128.19548872180448</v>
      </c>
    </row>
    <row r="17" spans="2:10" ht="15.75" hidden="1" x14ac:dyDescent="0.2">
      <c r="B17" s="612">
        <f t="shared" si="1"/>
        <v>9</v>
      </c>
      <c r="C17" s="615" t="s">
        <v>41</v>
      </c>
      <c r="D17" s="616">
        <v>482</v>
      </c>
      <c r="E17" s="617">
        <v>0.42899999999999999</v>
      </c>
      <c r="F17" s="618">
        <f>+UTAMA!G23</f>
        <v>82.21</v>
      </c>
      <c r="G17" s="619">
        <f>+UTAMA!I23</f>
        <v>81.25</v>
      </c>
      <c r="H17" s="620">
        <f>+UTAMA!H23</f>
        <v>0.33100000000000002</v>
      </c>
      <c r="I17" s="620">
        <f>UTAMA!J23</f>
        <v>4.3999999999999997E-2</v>
      </c>
      <c r="J17" s="621">
        <f t="shared" si="0"/>
        <v>13.293051359516614</v>
      </c>
    </row>
    <row r="18" spans="2:10" ht="15.75" hidden="1" x14ac:dyDescent="0.2">
      <c r="B18" s="612">
        <f t="shared" si="1"/>
        <v>10</v>
      </c>
      <c r="C18" s="615" t="s">
        <v>42</v>
      </c>
      <c r="D18" s="616">
        <v>366</v>
      </c>
      <c r="E18" s="617">
        <f>UTAMA!F24</f>
        <v>0.25</v>
      </c>
      <c r="F18" s="618">
        <f>+UTAMA!G24</f>
        <v>63.31</v>
      </c>
      <c r="G18" s="622">
        <f>+UTAMA!I24</f>
        <v>63.62</v>
      </c>
      <c r="H18" s="620">
        <f>+UTAMA!H24</f>
        <v>0.192</v>
      </c>
      <c r="I18" s="623">
        <f>UTAMA!J24</f>
        <v>0.20699999999999999</v>
      </c>
      <c r="J18" s="621">
        <f t="shared" si="0"/>
        <v>107.8125</v>
      </c>
    </row>
    <row r="19" spans="2:10" ht="15.75" hidden="1" x14ac:dyDescent="0.2">
      <c r="B19" s="612">
        <f>+B18+1</f>
        <v>11</v>
      </c>
      <c r="C19" s="615" t="s">
        <v>43</v>
      </c>
      <c r="D19" s="616">
        <v>260</v>
      </c>
      <c r="E19" s="617">
        <f>UTAMA!F25</f>
        <v>0.38500000000000001</v>
      </c>
      <c r="F19" s="618">
        <f>+UTAMA!G25</f>
        <v>44.98</v>
      </c>
      <c r="G19" s="622">
        <f>+UTAMA!I25</f>
        <v>46.83</v>
      </c>
      <c r="H19" s="620">
        <f>+UTAMA!H25</f>
        <v>9.8000000000000004E-2</v>
      </c>
      <c r="I19" s="623">
        <f>UTAMA!J25</f>
        <v>0.37</v>
      </c>
      <c r="J19" s="621">
        <f t="shared" si="0"/>
        <v>377.55102040816325</v>
      </c>
    </row>
    <row r="20" spans="2:10" ht="15.75" hidden="1" x14ac:dyDescent="0.2">
      <c r="B20" s="612">
        <f>+B19+1</f>
        <v>12</v>
      </c>
      <c r="C20" s="615" t="s">
        <v>45</v>
      </c>
      <c r="D20" s="616">
        <v>340</v>
      </c>
      <c r="E20" s="677">
        <f>UTAMA!F27</f>
        <v>2.3410000000000002</v>
      </c>
      <c r="F20" s="618">
        <f>+UTAMA!G27</f>
        <v>113</v>
      </c>
      <c r="G20" s="622">
        <f>+UTAMA!I27</f>
        <v>112.6</v>
      </c>
      <c r="H20" s="620">
        <f>+UTAMA!H27</f>
        <v>2.1120000000000001</v>
      </c>
      <c r="I20" s="623">
        <f>+UTAMA!J27</f>
        <v>1.94</v>
      </c>
      <c r="J20" s="621">
        <f t="shared" si="0"/>
        <v>91.856060606060595</v>
      </c>
    </row>
    <row r="21" spans="2:10" ht="15.75" hidden="1" x14ac:dyDescent="0.2">
      <c r="B21" s="612">
        <f>+B20+1</f>
        <v>13</v>
      </c>
      <c r="C21" s="615" t="s">
        <v>46</v>
      </c>
      <c r="D21" s="616">
        <v>392</v>
      </c>
      <c r="E21" s="677">
        <f>UTAMA!F28</f>
        <v>0.32300000000000001</v>
      </c>
      <c r="F21" s="618">
        <f>+UTAMA!G28</f>
        <v>203.5</v>
      </c>
      <c r="G21" s="622">
        <f>+UTAMA!I28</f>
        <v>203.4</v>
      </c>
      <c r="H21" s="620">
        <f>+UTAMA!H28</f>
        <v>0.27300000000000002</v>
      </c>
      <c r="I21" s="623">
        <f>+UTAMA!J28</f>
        <v>0.26</v>
      </c>
      <c r="J21" s="621">
        <f t="shared" si="0"/>
        <v>95.238095238095227</v>
      </c>
    </row>
    <row r="22" spans="2:10" ht="15.75" hidden="1" x14ac:dyDescent="0.2">
      <c r="B22" s="612">
        <f t="shared" si="1"/>
        <v>14</v>
      </c>
      <c r="C22" s="615" t="s">
        <v>47</v>
      </c>
      <c r="D22" s="616">
        <v>394</v>
      </c>
      <c r="E22" s="677">
        <f>UTAMA!F29</f>
        <v>0.42899999999999999</v>
      </c>
      <c r="F22" s="618">
        <f>+UTAMA!G29</f>
        <v>223.5</v>
      </c>
      <c r="G22" s="622">
        <f>+UTAMA!I29</f>
        <v>223.74</v>
      </c>
      <c r="H22" s="620">
        <f>+UTAMA!H29</f>
        <v>0.38100000000000001</v>
      </c>
      <c r="I22" s="623">
        <f>+UTAMA!J29</f>
        <v>0.4</v>
      </c>
      <c r="J22" s="621">
        <f t="shared" si="0"/>
        <v>104.98687664041995</v>
      </c>
    </row>
    <row r="23" spans="2:10" ht="15.75" hidden="1" x14ac:dyDescent="0.2">
      <c r="B23" s="612">
        <f t="shared" si="1"/>
        <v>15</v>
      </c>
      <c r="C23" s="615" t="s">
        <v>48</v>
      </c>
      <c r="D23" s="616">
        <v>707</v>
      </c>
      <c r="E23" s="677">
        <f>UTAMA!F30</f>
        <v>0.77100000000000002</v>
      </c>
      <c r="F23" s="618">
        <f>+UTAMA!G30</f>
        <v>195</v>
      </c>
      <c r="G23" s="622">
        <f>+UTAMA!I30</f>
        <v>196.03</v>
      </c>
      <c r="H23" s="620">
        <f>+UTAMA!H30</f>
        <v>0.58399999999999996</v>
      </c>
      <c r="I23" s="623">
        <f>+UTAMA!J30</f>
        <v>0.77700000000000002</v>
      </c>
      <c r="J23" s="621">
        <f t="shared" si="0"/>
        <v>133.04794520547946</v>
      </c>
    </row>
    <row r="24" spans="2:10" ht="15.75" hidden="1" x14ac:dyDescent="0.2">
      <c r="B24" s="612">
        <f t="shared" si="1"/>
        <v>16</v>
      </c>
      <c r="C24" s="615" t="s">
        <v>49</v>
      </c>
      <c r="D24" s="616">
        <v>92</v>
      </c>
      <c r="E24" s="677">
        <f>UTAMA!F31</f>
        <v>0.22600000000000001</v>
      </c>
      <c r="F24" s="618">
        <f>+UTAMA!G31</f>
        <v>170.57</v>
      </c>
      <c r="G24" s="622">
        <f>+UTAMA!I31</f>
        <v>166</v>
      </c>
      <c r="H24" s="620">
        <f>+UTAMA!H31</f>
        <v>0.16300000000000001</v>
      </c>
      <c r="I24" s="623" t="str">
        <f>+UTAMA!J31</f>
        <v>-</v>
      </c>
      <c r="J24" s="621">
        <f t="shared" si="0"/>
        <v>0</v>
      </c>
    </row>
    <row r="25" spans="2:10" ht="15.75" hidden="1" x14ac:dyDescent="0.2">
      <c r="B25" s="612">
        <f t="shared" si="1"/>
        <v>17</v>
      </c>
      <c r="C25" s="615" t="s">
        <v>50</v>
      </c>
      <c r="D25" s="616">
        <v>319</v>
      </c>
      <c r="E25" s="677">
        <f>UTAMA!F32</f>
        <v>0.71399999999999997</v>
      </c>
      <c r="F25" s="618">
        <f>+UTAMA!G32</f>
        <v>228</v>
      </c>
      <c r="G25" s="622">
        <f>+UTAMA!I32</f>
        <v>228.8</v>
      </c>
      <c r="H25" s="620">
        <f>+UTAMA!H32</f>
        <v>0.621</v>
      </c>
      <c r="I25" s="623">
        <f>+UTAMA!J32</f>
        <v>0.7</v>
      </c>
      <c r="J25" s="621">
        <f t="shared" si="0"/>
        <v>112.72141706924315</v>
      </c>
    </row>
    <row r="26" spans="2:10" ht="15.75" hidden="1" x14ac:dyDescent="0.2">
      <c r="B26" s="612">
        <f t="shared" si="1"/>
        <v>18</v>
      </c>
      <c r="C26" s="615" t="s">
        <v>51</v>
      </c>
      <c r="D26" s="616">
        <v>635</v>
      </c>
      <c r="E26" s="677">
        <f>UTAMA!F33</f>
        <v>1.708</v>
      </c>
      <c r="F26" s="618">
        <f>+UTAMA!G33</f>
        <v>248.2</v>
      </c>
      <c r="G26" s="622">
        <f>+UTAMA!I33</f>
        <v>248.71</v>
      </c>
      <c r="H26" s="620">
        <f>+UTAMA!H33</f>
        <v>1.5669999999999999</v>
      </c>
      <c r="I26" s="623">
        <f>+UTAMA!J33</f>
        <v>1.71</v>
      </c>
      <c r="J26" s="621">
        <f t="shared" si="0"/>
        <v>109.12571793235482</v>
      </c>
    </row>
    <row r="27" spans="2:10" ht="15.75" hidden="1" x14ac:dyDescent="0.2">
      <c r="B27" s="612">
        <f t="shared" si="1"/>
        <v>19</v>
      </c>
      <c r="C27" s="615" t="s">
        <v>52</v>
      </c>
      <c r="D27" s="616">
        <v>2000</v>
      </c>
      <c r="E27" s="677">
        <f>UTAMA!F34</f>
        <v>4.3979999999999997</v>
      </c>
      <c r="F27" s="618">
        <f>+UTAMA!G34</f>
        <v>149.11000000000001</v>
      </c>
      <c r="G27" s="619">
        <f>+UTAMA!I34</f>
        <v>146.26</v>
      </c>
      <c r="H27" s="620">
        <f>+UTAMA!H34</f>
        <v>2.6539999999999999</v>
      </c>
      <c r="I27" s="620">
        <f>+UTAMA!J34</f>
        <v>1.26</v>
      </c>
      <c r="J27" s="621">
        <f t="shared" si="0"/>
        <v>47.475508666164288</v>
      </c>
    </row>
    <row r="28" spans="2:10" ht="15.75" hidden="1" x14ac:dyDescent="0.2">
      <c r="B28" s="612">
        <f t="shared" si="1"/>
        <v>20</v>
      </c>
      <c r="C28" s="615" t="s">
        <v>53</v>
      </c>
      <c r="D28" s="616">
        <v>1126</v>
      </c>
      <c r="E28" s="677">
        <f>UTAMA!F35</f>
        <v>3.3109999999999999</v>
      </c>
      <c r="F28" s="618">
        <f>+UTAMA!G35</f>
        <v>204.86</v>
      </c>
      <c r="G28" s="619">
        <f>+UTAMA!I35</f>
        <v>204.91</v>
      </c>
      <c r="H28" s="620">
        <f>+UTAMA!H35</f>
        <v>3.2320000000000002</v>
      </c>
      <c r="I28" s="620">
        <f>+UTAMA!J35</f>
        <v>3.26</v>
      </c>
      <c r="J28" s="621">
        <f t="shared" si="0"/>
        <v>100.86633663366335</v>
      </c>
    </row>
    <row r="29" spans="2:10" ht="15.75" x14ac:dyDescent="0.2">
      <c r="B29" s="612">
        <f t="shared" si="1"/>
        <v>21</v>
      </c>
      <c r="C29" s="615" t="s">
        <v>54</v>
      </c>
      <c r="D29" s="616">
        <v>1531</v>
      </c>
      <c r="E29" s="677">
        <f>UTAMA!F36</f>
        <v>0.64100000000000001</v>
      </c>
      <c r="F29" s="618">
        <f>+UTAMA!G36</f>
        <v>325.3</v>
      </c>
      <c r="G29" s="622">
        <f>+UTAMA!I36</f>
        <v>325.10000000000002</v>
      </c>
      <c r="H29" s="620">
        <f>+UTAMA!H36</f>
        <v>0.622</v>
      </c>
      <c r="I29" s="623">
        <f>+UTAMA!J36</f>
        <v>0.6</v>
      </c>
      <c r="J29" s="621">
        <f t="shared" si="0"/>
        <v>96.463022508038591</v>
      </c>
    </row>
    <row r="30" spans="2:10" ht="15.75" x14ac:dyDescent="0.2">
      <c r="B30" s="612">
        <f t="shared" si="1"/>
        <v>22</v>
      </c>
      <c r="C30" s="615" t="s">
        <v>55</v>
      </c>
      <c r="D30" s="616">
        <v>358</v>
      </c>
      <c r="E30" s="677">
        <f>UTAMA!F37</f>
        <v>0.71</v>
      </c>
      <c r="F30" s="618">
        <f>+UTAMA!G37</f>
        <v>129</v>
      </c>
      <c r="G30" s="622">
        <f>+UTAMA!I37</f>
        <v>129.19999999999999</v>
      </c>
      <c r="H30" s="620">
        <f>+UTAMA!H37</f>
        <v>0.68300000000000005</v>
      </c>
      <c r="I30" s="623">
        <f>+UTAMA!J37</f>
        <v>0.71</v>
      </c>
      <c r="J30" s="621">
        <f t="shared" si="0"/>
        <v>103.95314787701318</v>
      </c>
    </row>
    <row r="31" spans="2:10" ht="15.75" x14ac:dyDescent="0.2">
      <c r="B31" s="612">
        <f t="shared" si="1"/>
        <v>23</v>
      </c>
      <c r="C31" s="615" t="s">
        <v>56</v>
      </c>
      <c r="D31" s="616">
        <v>2488</v>
      </c>
      <c r="E31" s="677">
        <f>UTAMA!F38</f>
        <v>0.48</v>
      </c>
      <c r="F31" s="618">
        <f>+UTAMA!G38</f>
        <v>282.7</v>
      </c>
      <c r="G31" s="619">
        <f>+UTAMA!I38</f>
        <v>282.89999999999998</v>
      </c>
      <c r="H31" s="620">
        <f>+UTAMA!H38</f>
        <v>0.45800000000000002</v>
      </c>
      <c r="I31" s="623">
        <f>+UTAMA!J38</f>
        <v>0.48</v>
      </c>
      <c r="J31" s="621">
        <f t="shared" si="0"/>
        <v>104.80349344978166</v>
      </c>
    </row>
    <row r="32" spans="2:10" ht="15.75" x14ac:dyDescent="0.2">
      <c r="B32" s="612">
        <f t="shared" si="1"/>
        <v>24</v>
      </c>
      <c r="C32" s="615" t="s">
        <v>57</v>
      </c>
      <c r="D32" s="616">
        <v>426</v>
      </c>
      <c r="E32" s="677">
        <f>UTAMA!F39</f>
        <v>2.8849999999999998</v>
      </c>
      <c r="F32" s="618">
        <f>+UTAMA!G39</f>
        <v>98.46</v>
      </c>
      <c r="G32" s="622">
        <f>+UTAMA!I39</f>
        <v>99.05</v>
      </c>
      <c r="H32" s="620">
        <f>+UTAMA!H39</f>
        <v>2.4929999999999999</v>
      </c>
      <c r="I32" s="623">
        <f>+UTAMA!J39</f>
        <v>2.93</v>
      </c>
      <c r="J32" s="621">
        <f t="shared" si="0"/>
        <v>117.52908142799841</v>
      </c>
    </row>
    <row r="33" spans="2:13" ht="15.75" x14ac:dyDescent="0.2">
      <c r="B33" s="612">
        <f t="shared" si="1"/>
        <v>25</v>
      </c>
      <c r="C33" s="615" t="s">
        <v>58</v>
      </c>
      <c r="D33" s="616">
        <v>295</v>
      </c>
      <c r="E33" s="677">
        <f>UTAMA!F40</f>
        <v>7.9000000000000001E-2</v>
      </c>
      <c r="F33" s="618">
        <f>+UTAMA!G40</f>
        <v>189.5</v>
      </c>
      <c r="G33" s="622">
        <f>+UTAMA!I40</f>
        <v>189.66</v>
      </c>
      <c r="H33" s="620">
        <f>+UTAMA!H40</f>
        <v>7.5999999999999998E-2</v>
      </c>
      <c r="I33" s="623">
        <f>+UTAMA!J40</f>
        <v>0.08</v>
      </c>
      <c r="J33" s="621">
        <f t="shared" si="0"/>
        <v>105.26315789473684</v>
      </c>
    </row>
    <row r="34" spans="2:13" ht="15.75" x14ac:dyDescent="0.2">
      <c r="B34" s="612">
        <f t="shared" si="1"/>
        <v>26</v>
      </c>
      <c r="C34" s="615" t="s">
        <v>59</v>
      </c>
      <c r="D34" s="616">
        <v>708</v>
      </c>
      <c r="E34" s="677">
        <f>UTAMA!F41</f>
        <v>9.6000000000000002E-2</v>
      </c>
      <c r="F34" s="618">
        <f>+UTAMA!G41</f>
        <v>171.2</v>
      </c>
      <c r="G34" s="622">
        <f>+UTAMA!I41</f>
        <v>169.99</v>
      </c>
      <c r="H34" s="620">
        <f>+UTAMA!H41</f>
        <v>9.7000000000000003E-2</v>
      </c>
      <c r="I34" s="623">
        <f>+UTAMA!J41</f>
        <v>7.0000000000000007E-2</v>
      </c>
      <c r="J34" s="621">
        <f t="shared" si="0"/>
        <v>72.164948453608261</v>
      </c>
    </row>
    <row r="35" spans="2:13" ht="15.75" x14ac:dyDescent="0.2">
      <c r="B35" s="612">
        <f t="shared" si="1"/>
        <v>27</v>
      </c>
      <c r="C35" s="615" t="s">
        <v>60</v>
      </c>
      <c r="D35" s="616">
        <v>1567</v>
      </c>
      <c r="E35" s="677">
        <f>UTAMA!F42</f>
        <v>9.8740000000000006</v>
      </c>
      <c r="F35" s="618">
        <f>+UTAMA!G42</f>
        <v>139.58000000000001</v>
      </c>
      <c r="G35" s="619">
        <f>+UTAMA!I42</f>
        <v>140.47999999999999</v>
      </c>
      <c r="H35" s="620">
        <f>+UTAMA!H42</f>
        <v>7.1310000000000002</v>
      </c>
      <c r="I35" s="620">
        <f>+UTAMA!J42</f>
        <v>9.6999999999999993</v>
      </c>
      <c r="J35" s="621">
        <f t="shared" si="0"/>
        <v>136.02580283270228</v>
      </c>
    </row>
    <row r="36" spans="2:13" ht="15.75" x14ac:dyDescent="0.2">
      <c r="B36" s="612">
        <f t="shared" si="1"/>
        <v>28</v>
      </c>
      <c r="C36" s="615" t="s">
        <v>61</v>
      </c>
      <c r="D36" s="616">
        <v>1353</v>
      </c>
      <c r="E36" s="677">
        <f>UTAMA!F43</f>
        <v>2.6720000000000002</v>
      </c>
      <c r="F36" s="618">
        <f>+UTAMA!G43</f>
        <v>238</v>
      </c>
      <c r="G36" s="619">
        <f>+UTAMA!I43</f>
        <v>239.05</v>
      </c>
      <c r="H36" s="620">
        <f>+UTAMA!H43</f>
        <v>1.86</v>
      </c>
      <c r="I36" s="620">
        <f>+UTAMA!J43</f>
        <v>2.4300000000000002</v>
      </c>
      <c r="J36" s="621">
        <f t="shared" si="0"/>
        <v>130.64516129032256</v>
      </c>
    </row>
    <row r="37" spans="2:13" ht="15.75" x14ac:dyDescent="0.2">
      <c r="B37" s="612">
        <f t="shared" si="1"/>
        <v>29</v>
      </c>
      <c r="C37" s="615" t="s">
        <v>62</v>
      </c>
      <c r="D37" s="616">
        <v>53</v>
      </c>
      <c r="E37" s="677">
        <f>UTAMA!F44</f>
        <v>4.1539999999999999</v>
      </c>
      <c r="F37" s="618">
        <f>+UTAMA!G44</f>
        <v>120.25</v>
      </c>
      <c r="G37" s="619">
        <f>+UTAMA!I44</f>
        <v>120.69</v>
      </c>
      <c r="H37" s="620">
        <f>+UTAMA!H44</f>
        <v>3.2050000000000001</v>
      </c>
      <c r="I37" s="620">
        <f>+UTAMA!J44</f>
        <v>4.04</v>
      </c>
      <c r="J37" s="621">
        <f t="shared" si="0"/>
        <v>126.05304212168487</v>
      </c>
    </row>
    <row r="38" spans="2:13" ht="15.75" x14ac:dyDescent="0.2">
      <c r="B38" s="612">
        <f t="shared" si="1"/>
        <v>30</v>
      </c>
      <c r="C38" s="615" t="s">
        <v>63</v>
      </c>
      <c r="D38" s="616">
        <v>51</v>
      </c>
      <c r="E38" s="677">
        <f>UTAMA!F45</f>
        <v>2.75</v>
      </c>
      <c r="F38" s="618">
        <f>+UTAMA!G45</f>
        <v>110.36</v>
      </c>
      <c r="G38" s="619">
        <f>+UTAMA!I45</f>
        <v>110.51</v>
      </c>
      <c r="H38" s="620">
        <f>+UTAMA!H45</f>
        <v>2.371</v>
      </c>
      <c r="I38" s="620">
        <f>+UTAMA!J45</f>
        <v>2.66</v>
      </c>
      <c r="J38" s="621">
        <f t="shared" si="0"/>
        <v>112.18894981020667</v>
      </c>
    </row>
    <row r="39" spans="2:13" ht="15.75" x14ac:dyDescent="0.2">
      <c r="B39" s="612">
        <f t="shared" si="1"/>
        <v>31</v>
      </c>
      <c r="C39" s="615" t="s">
        <v>213</v>
      </c>
      <c r="D39" s="616">
        <v>0</v>
      </c>
      <c r="E39" s="617">
        <f>UTAMA!F50</f>
        <v>0.47399999999999998</v>
      </c>
      <c r="F39" s="618">
        <f>+UTAMA!G50</f>
        <v>38.549999999999997</v>
      </c>
      <c r="G39" s="619">
        <f>+UTAMA!I50</f>
        <v>38.369999999999997</v>
      </c>
      <c r="H39" s="620">
        <f>+UTAMA!H50</f>
        <v>0.34</v>
      </c>
      <c r="I39" s="620">
        <f>UTAMA!J50</f>
        <v>0.40500000000000003</v>
      </c>
      <c r="J39" s="621">
        <f t="shared" si="0"/>
        <v>119.11764705882352</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59.156999999999989</v>
      </c>
      <c r="I41" s="630">
        <f>SUM(I9:I40)</f>
        <v>69.09999999999998</v>
      </c>
      <c r="J41" s="631">
        <f>+I41/H41*100%*100</f>
        <v>116.80781648832766</v>
      </c>
    </row>
    <row r="42" spans="2:13" ht="16.5" thickBot="1" x14ac:dyDescent="0.25">
      <c r="B42" s="632" t="s">
        <v>68</v>
      </c>
      <c r="C42" s="633" t="s">
        <v>69</v>
      </c>
      <c r="D42" s="633"/>
      <c r="E42" s="634"/>
      <c r="F42" s="635"/>
      <c r="G42" s="635"/>
      <c r="H42" s="636" t="s">
        <v>95</v>
      </c>
      <c r="I42" s="637">
        <f>+I41/H41*100%</f>
        <v>1.1680781648832765</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24</v>
      </c>
    </row>
    <row r="46" spans="2:13" ht="15" x14ac:dyDescent="0.2">
      <c r="B46" s="639"/>
      <c r="C46" s="641" t="s">
        <v>100</v>
      </c>
      <c r="D46" s="641"/>
      <c r="E46" s="642" t="s">
        <v>98</v>
      </c>
      <c r="F46" s="641" t="s">
        <v>101</v>
      </c>
      <c r="G46" s="641"/>
      <c r="H46" s="641"/>
      <c r="I46" s="643" t="s">
        <v>176</v>
      </c>
      <c r="J46" s="644">
        <f>COUNTIFS(J9:J40,"&gt;=85",J9:J40,"&lt;=100")</f>
        <v>4</v>
      </c>
    </row>
    <row r="47" spans="2:13" ht="15" x14ac:dyDescent="0.2">
      <c r="B47" s="639"/>
      <c r="C47" s="641" t="s">
        <v>102</v>
      </c>
      <c r="D47" s="641"/>
      <c r="E47" s="642" t="s">
        <v>98</v>
      </c>
      <c r="F47" s="641" t="s">
        <v>103</v>
      </c>
      <c r="G47" s="641"/>
      <c r="H47" s="641"/>
      <c r="I47" s="643" t="s">
        <v>176</v>
      </c>
      <c r="J47" s="255">
        <f>COUNTIFS(J9:J40,"&gt;0",J9:J40,"&lt;=85")</f>
        <v>3</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4" t="s">
        <v>335</v>
      </c>
      <c r="C1" s="895"/>
      <c r="D1" s="895"/>
      <c r="E1" s="895"/>
      <c r="F1" s="895"/>
      <c r="G1" s="895"/>
      <c r="H1" s="895"/>
      <c r="I1" s="895"/>
      <c r="J1" s="895"/>
      <c r="K1" s="895"/>
      <c r="L1" s="895"/>
      <c r="M1" s="895"/>
      <c r="N1" s="895"/>
      <c r="O1" s="895"/>
      <c r="P1" s="895"/>
      <c r="Q1" s="895"/>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6" t="s">
        <v>341</v>
      </c>
      <c r="C2" s="897"/>
      <c r="D2" s="897"/>
      <c r="E2" s="897"/>
      <c r="F2" s="897"/>
      <c r="G2" s="897"/>
      <c r="H2" s="897"/>
      <c r="I2" s="897"/>
      <c r="J2" s="897"/>
      <c r="K2" s="897"/>
      <c r="L2" s="897"/>
      <c r="M2" s="897"/>
      <c r="N2" s="897"/>
      <c r="O2" s="897"/>
      <c r="P2" s="897"/>
      <c r="Q2" s="897"/>
      <c r="R2" s="288"/>
      <c r="S2" s="328">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Rawapening</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Krisak</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Cacaban</v>
      </c>
      <c r="AA11" s="328">
        <v>10</v>
      </c>
      <c r="AB11" s="235" t="str">
        <f>IF('RINCI 2'!J18=0,"Kosong",IF('RINCI 2'!J18&lt;85,"Di Bawah Rencana",IF('RINCI 2'!J18&gt;100,"Di Atas Rencana","Sesuai Rencana")))</f>
        <v>Di Atas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Sesuai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Sesuai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Atas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Sesuai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6</v>
      </c>
      <c r="G24" s="766" t="s">
        <v>278</v>
      </c>
      <c r="H24" s="766"/>
      <c r="I24" s="767"/>
      <c r="J24" s="768">
        <f>'RINCI 2'!J46+'RINCI 1'!J23</f>
        <v>5</v>
      </c>
      <c r="K24" s="766" t="s">
        <v>279</v>
      </c>
      <c r="L24" s="767"/>
      <c r="M24" s="767"/>
      <c r="N24" s="768">
        <f>'RINCI 1'!J22+'RINCI 2'!J45</f>
        <v>29</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Atas Rencana</v>
      </c>
      <c r="AC24" s="235" t="s">
        <v>56</v>
      </c>
      <c r="AI24" s="285"/>
    </row>
    <row r="25" spans="2:35" x14ac:dyDescent="0.2">
      <c r="B25" s="765">
        <f>'RINCI 1'!J25</f>
        <v>0</v>
      </c>
      <c r="C25" s="766" t="s">
        <v>276</v>
      </c>
      <c r="D25" s="766"/>
      <c r="E25" s="767"/>
      <c r="F25" s="768">
        <f>'RINCI 1'!J24</f>
        <v>3</v>
      </c>
      <c r="G25" s="766" t="s">
        <v>276</v>
      </c>
      <c r="H25" s="766"/>
      <c r="I25" s="767"/>
      <c r="J25" s="768">
        <f>'RINCI 1'!J23</f>
        <v>1</v>
      </c>
      <c r="K25" s="766" t="s">
        <v>276</v>
      </c>
      <c r="L25" s="767"/>
      <c r="M25" s="767"/>
      <c r="N25" s="768">
        <f>'RINCI 1'!J22</f>
        <v>5</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3</v>
      </c>
      <c r="G26" s="766" t="s">
        <v>277</v>
      </c>
      <c r="H26" s="766"/>
      <c r="I26" s="767"/>
      <c r="J26" s="765">
        <f>'RINCI 2'!J46</f>
        <v>4</v>
      </c>
      <c r="K26" s="766" t="s">
        <v>277</v>
      </c>
      <c r="L26" s="767"/>
      <c r="M26" s="767"/>
      <c r="N26" s="768">
        <f>'RINCI 2'!J45</f>
        <v>24</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9"/>
      <c r="D29" s="899"/>
      <c r="E29" s="899"/>
      <c r="F29" s="899" t="s">
        <v>172</v>
      </c>
      <c r="G29" s="899"/>
      <c r="H29" s="899"/>
      <c r="I29" s="899"/>
      <c r="J29" s="899" t="s">
        <v>173</v>
      </c>
      <c r="K29" s="899"/>
      <c r="L29" s="899"/>
      <c r="M29" s="899"/>
      <c r="N29" s="899" t="s">
        <v>192</v>
      </c>
      <c r="O29" s="899"/>
      <c r="P29" s="899"/>
      <c r="Q29" s="899"/>
      <c r="R29" s="288"/>
      <c r="AA29" s="328">
        <v>28</v>
      </c>
      <c r="AB29" s="235" t="str">
        <f>IF('RINCI 2'!J36=0,"Kosong",IF('RINCI 2'!J36&lt;85,"Di Bawah Rencana",IF('RINCI 2'!J36&gt;100,"Di Atas Rencana","Sesuai Rencana")))</f>
        <v>Di Atas Rencana</v>
      </c>
      <c r="AC29" s="235" t="s">
        <v>61</v>
      </c>
      <c r="AI29" s="285"/>
    </row>
    <row r="30" spans="2:35" x14ac:dyDescent="0.2">
      <c r="B30" s="898" t="s">
        <v>174</v>
      </c>
      <c r="C30" s="899"/>
      <c r="D30" s="899" t="s">
        <v>175</v>
      </c>
      <c r="E30" s="899"/>
      <c r="F30" s="899" t="s">
        <v>174</v>
      </c>
      <c r="G30" s="899"/>
      <c r="H30" s="899" t="s">
        <v>175</v>
      </c>
      <c r="I30" s="899"/>
      <c r="J30" s="899" t="s">
        <v>174</v>
      </c>
      <c r="K30" s="899"/>
      <c r="L30" s="899" t="s">
        <v>175</v>
      </c>
      <c r="M30" s="899"/>
      <c r="N30" s="899" t="s">
        <v>174</v>
      </c>
      <c r="O30" s="899"/>
      <c r="P30" s="899" t="s">
        <v>175</v>
      </c>
      <c r="Q30" s="899"/>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Rawapening</v>
      </c>
      <c r="H31" s="235" t="str">
        <f t="array" ref="H31">IF(ISERROR(INDEX($AB$1:$AC$33,SMALL(IF($AB$1:$AB$33=$AF$4,ROW($AB$1:$AB$33)),ROW(1:1)),2)),"",INDEX($AB$1:$AC$33,SMALL(IF($AB$1:$AB$33=$AF$4,ROW($AB$1:$AB$33)),ROW(1:1)),2))</f>
        <v>Simo</v>
      </c>
      <c r="J31" s="235" t="str">
        <f t="array" ref="J31">IF(ISERROR(INDEX($T$1:$U$10,SMALL(IF($T$1:$T$10=$X$7,ROW($T$1:$T$10)),ROW(1:1)),2)),"",INDEX($T$1:$U$10,SMALL(IF($T$1:$T$10=$X$7,ROW($T$1:$T$10)),ROW(1:1)),2))</f>
        <v>Malahayu</v>
      </c>
      <c r="L31" s="235" t="str">
        <f t="array" ref="L31">IF(ISERROR(INDEX($AB$1:$AC$33,SMALL(IF($AB$1:$AB$33=$AF$7,ROW($AB$1:$AB$33)),ROW(1:1)),2)),"",INDEX($AB$1:$AC$33,SMALL(IF($AB$1:$AB$33=$AF$7,ROW($AB$1:$AB$33)),ROW(1:1)),2))</f>
        <v>Krisak</v>
      </c>
      <c r="N31" s="235" t="str">
        <f t="array" ref="N31">IF(ISERROR(INDEX($T$1:$U$10,SMALL(IF($T$1:$T$10=$X$10,ROW($T$1:$T$10)),ROW(1:1)),2)),"",INDEX($T$1:$U$10,SMALL(IF($T$1:$T$10=$X$10,ROW($T$1:$T$10)),ROW(1:1)),2))</f>
        <v>Cacaban</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Sempor</v>
      </c>
      <c r="H32" s="235" t="str">
        <f t="array" ref="H32">IF(ISERROR(INDEX($AB$1:$AC$33,SMALL(IF($AB$1:$AB$33=$AF$4,ROW($AB$1:$AB$33)),ROW(2:2)),2)),"",INDEX($AB$1:$AC$33,SMALL(IF($AB$1:$AB$33=$AF$4,ROW($AB$1:$AB$33)),ROW(2:2)),2))</f>
        <v>Lalung</v>
      </c>
      <c r="J32" s="235" t="str">
        <f t="array" ref="J32">IF(ISERROR(INDEX($T$1:$U$10,SMALL(IF($T$1:$T$10=$X$7,ROW($T$1:$T$10)),ROW(2:2)),2)),"",INDEX($T$1:$U$10,SMALL(IF($T$1:$T$10=$X$7,ROW($T$1:$T$10)),ROW(2:2)),2))</f>
        <v/>
      </c>
      <c r="L32" s="235" t="str">
        <f t="array" ref="L32">IF(ISERROR(INDEX($AB$1:$AC$33,SMALL(IF($AB$1:$AB$33=$AF$7,ROW($AB$1:$AB$33)),ROW(2:2)),2)),"",INDEX($AB$1:$AC$33,SMALL(IF($AB$1:$AB$33=$AF$7,ROW($AB$1:$AB$33)),ROW(2:2)),2))</f>
        <v>Plumbon</v>
      </c>
      <c r="N32" s="235" t="str">
        <f t="array" ref="N32">IF(ISERROR(INDEX($T$1:$U$10,SMALL(IF($T$1:$T$10=$X$10,ROW($T$1:$T$10)),ROW(2:2)),2)),"",INDEX($T$1:$U$10,SMALL(IF($T$1:$T$10=$X$10,ROW($T$1:$T$10)),ROW(2:2)),2))</f>
        <v>Kedungombo</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Wadaslintang</v>
      </c>
      <c r="H33" s="235" t="str">
        <f t="array" ref="H33">IF(ISERROR(INDEX($AB$1:$AC$33,SMALL(IF($AB$1:$AB$33=$AF$4,ROW($AB$1:$AB$33)),ROW(3:3)),2)),"",INDEX($AB$1:$AC$33,SMALL(IF($AB$1:$AB$33=$AF$4,ROW($AB$1:$AB$33)),ROW(3:3)),2))</f>
        <v>Brambang</v>
      </c>
      <c r="J33" s="235" t="str">
        <f t="array" ref="J33">IF(ISERROR(INDEX($T$1:$U$10,SMALL(IF($T$1:$T$10=$X$7,ROW($T$1:$T$10)),ROW(3:3)),2)),"",INDEX($T$1:$U$10,SMALL(IF($T$1:$T$10=$X$7,ROW($T$1:$T$10)),ROW(3:3)),2))</f>
        <v/>
      </c>
      <c r="L33" s="235" t="str">
        <f t="array" ref="L33">IF(ISERROR(INDEX($AB$1:$AC$33,SMALL(IF($AB$1:$AB$33=$AF$7,ROW($AB$1:$AB$33)),ROW(3:3)),2)),"",INDEX($AB$1:$AC$33,SMALL(IF($AB$1:$AB$33=$AF$7,ROW($AB$1:$AB$33)),ROW(3:3)),2))</f>
        <v>Gebyar</v>
      </c>
      <c r="N33" s="235" t="str">
        <f t="array" ref="N33">IF(ISERROR(INDEX($T$1:$U$10,SMALL(IF($T$1:$T$10=$X$10,ROW($T$1:$T$10)),ROW(3:3)),2)),"",INDEX($T$1:$U$10,SMALL(IF($T$1:$T$10=$X$10,ROW($T$1:$T$10)),ROW(3:3)),2))</f>
        <v>Wonogiri</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
      </c>
      <c r="J34" s="235" t="str">
        <f t="array" ref="J34">IF(ISERROR(INDEX($T$1:$U$10,SMALL(IF($T$1:$T$10=$X$7,ROW($T$1:$T$10)),ROW(4:4)),2)),"",INDEX($T$1:$U$10,SMALL(IF($T$1:$T$10=$X$7,ROW($T$1:$T$10)),ROW(4:4)),2))</f>
        <v/>
      </c>
      <c r="L34" s="235" t="str">
        <f t="array" ref="L34">IF(ISERROR(INDEX($AB$1:$AC$33,SMALL(IF($AB$1:$AB$33=$AF$7,ROW($AB$1:$AB$33)),ROW(4:4)),2)),"",INDEX($AB$1:$AC$33,SMALL(IF($AB$1:$AB$33=$AF$7,ROW($AB$1:$AB$33)),ROW(4:4)),2))</f>
        <v>Panohan</v>
      </c>
      <c r="N34" s="235" t="str">
        <f t="array" ref="N34">IF(ISERROR(INDEX($T$1:$U$10,SMALL(IF($T$1:$T$10=$X$10,ROW($T$1:$T$10)),ROW(4:4)),2)),"",INDEX($T$1:$U$10,SMALL(IF($T$1:$T$10=$X$10,ROW($T$1:$T$10)),ROW(4:4)),2))</f>
        <v>Sudirman</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Jatibarang</v>
      </c>
      <c r="P35" s="235" t="str">
        <f t="array" ref="P35">IF(ISERROR(INDEX($AB$1:$AC$33,SMALL(IF($AB$1:$AB$33=$AF$10,ROW($AB$1:$AB$33)),ROW(5:5)),2)),"",INDEX($AB$1:$AC$33,SMALL(IF($AB$1:$AB$33=$AF$10,ROW($AB$1:$AB$33)),ROW(5:5)),2))</f>
        <v>Greneng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Lodanwetan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Banyukuwung</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Butak</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Sanggeh</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Songputri</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Parangjoho</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Nawangan</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Ngancar</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Delingan</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Kembangan</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Botok</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Ketro</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Blimbing</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Cengklik</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Klego</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Jombor</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Mulur</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Grawan</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28" zoomScale="90" zoomScaleNormal="90" workbookViewId="0">
      <selection activeCell="C40" sqref="C40"/>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52"/>
      <c r="D37" s="852"/>
      <c r="E37" s="852"/>
      <c r="F37" s="852"/>
      <c r="G37" s="852"/>
      <c r="H37" s="852"/>
      <c r="I37" s="852"/>
      <c r="J37" s="904"/>
    </row>
    <row r="38" spans="2:10" x14ac:dyDescent="0.2">
      <c r="B38" s="244"/>
      <c r="J38" s="245"/>
    </row>
    <row r="39" spans="2:10" ht="20.25" x14ac:dyDescent="0.3">
      <c r="B39" s="903" t="s">
        <v>342</v>
      </c>
      <c r="C39" s="852"/>
      <c r="D39" s="852"/>
      <c r="E39" s="852"/>
      <c r="F39" s="852"/>
      <c r="G39" s="852"/>
      <c r="H39" s="852"/>
      <c r="I39" s="852"/>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2022-11-13T10:15:36Z</cp:lastPrinted>
  <dcterms:created xsi:type="dcterms:W3CDTF">2001-01-08T14:44:55Z</dcterms:created>
  <dcterms:modified xsi:type="dcterms:W3CDTF">2023-03-28T08:27:39Z</dcterms:modified>
</cp:coreProperties>
</file>