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5" yWindow="150" windowWidth="10695" windowHeight="7485" firstSheet="7"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H32" i="3" l="1"/>
  <c r="H33" i="3"/>
  <c r="H34" i="3"/>
  <c r="H35" i="3"/>
  <c r="H36" i="3"/>
  <c r="H37" i="3"/>
  <c r="H38" i="3"/>
  <c r="H39" i="3"/>
  <c r="H40" i="3"/>
  <c r="H41" i="3"/>
  <c r="H42" i="3"/>
  <c r="H43" i="3"/>
  <c r="H44" i="3"/>
  <c r="H45" i="3"/>
  <c r="H46" i="3"/>
  <c r="H47" i="3"/>
  <c r="H48" i="3"/>
  <c r="H26" i="3"/>
  <c r="H27" i="3"/>
  <c r="H28" i="3"/>
  <c r="H29" i="3"/>
  <c r="H30" i="3"/>
  <c r="H31" i="3"/>
  <c r="H15" i="3"/>
  <c r="H16" i="3"/>
  <c r="H17" i="3"/>
  <c r="H18" i="3"/>
  <c r="H19" i="3"/>
  <c r="H20" i="3"/>
  <c r="H21" i="3"/>
  <c r="H22" i="3"/>
  <c r="H23" i="3"/>
  <c r="H24" i="3"/>
  <c r="H25" i="3"/>
  <c r="L18" i="11" l="1"/>
  <c r="K114" i="11" l="1"/>
  <c r="J253" i="11" l="1"/>
  <c r="H52"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J22" i="13" s="1"/>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C31" i="3"/>
  <c r="D31" i="3"/>
  <c r="E31" i="3"/>
  <c r="F31" i="3"/>
  <c r="G31" i="3"/>
  <c r="C32" i="3"/>
  <c r="D32" i="3"/>
  <c r="E32" i="3"/>
  <c r="F32" i="3"/>
  <c r="G32" i="3"/>
  <c r="C33" i="3"/>
  <c r="D33" i="3"/>
  <c r="E33" i="3"/>
  <c r="F33" i="3"/>
  <c r="G33" i="3"/>
  <c r="C34" i="3"/>
  <c r="D34" i="3"/>
  <c r="E34" i="3"/>
  <c r="F34" i="3"/>
  <c r="G34" i="3"/>
  <c r="C35" i="3"/>
  <c r="D35" i="3"/>
  <c r="E35" i="3"/>
  <c r="F35" i="3"/>
  <c r="G35" i="3"/>
  <c r="C36" i="3"/>
  <c r="D36" i="3"/>
  <c r="E36" i="3"/>
  <c r="F36" i="3"/>
  <c r="G36" i="3"/>
  <c r="C37" i="3"/>
  <c r="D37" i="3"/>
  <c r="E37" i="3"/>
  <c r="F37" i="3"/>
  <c r="G37" i="3"/>
  <c r="C38" i="3"/>
  <c r="D38" i="3"/>
  <c r="E38" i="3"/>
  <c r="F38" i="3"/>
  <c r="G38" i="3"/>
  <c r="C39" i="3"/>
  <c r="D39" i="3"/>
  <c r="E39" i="3"/>
  <c r="F39" i="3"/>
  <c r="G39" i="3"/>
  <c r="C40" i="3"/>
  <c r="D40" i="3"/>
  <c r="E40" i="3"/>
  <c r="F40" i="3"/>
  <c r="G40" i="3"/>
  <c r="C41" i="3"/>
  <c r="D41" i="3"/>
  <c r="E41" i="3"/>
  <c r="F41" i="3"/>
  <c r="G41" i="3"/>
  <c r="C42" i="3"/>
  <c r="D42" i="3"/>
  <c r="E42" i="3"/>
  <c r="F42" i="3"/>
  <c r="G42" i="3"/>
  <c r="C43" i="3"/>
  <c r="D43" i="3"/>
  <c r="E43" i="3"/>
  <c r="F43" i="3"/>
  <c r="G43" i="3"/>
  <c r="C44" i="3"/>
  <c r="D44" i="3"/>
  <c r="E44" i="3"/>
  <c r="F44" i="3"/>
  <c r="G44" i="3"/>
  <c r="C45" i="3"/>
  <c r="D45" i="3"/>
  <c r="E45" i="3"/>
  <c r="F45" i="3"/>
  <c r="G45" i="3"/>
  <c r="C46" i="3"/>
  <c r="D46" i="3"/>
  <c r="E46" i="3"/>
  <c r="F46" i="3"/>
  <c r="G46" i="3"/>
  <c r="C47" i="3"/>
  <c r="D47" i="3"/>
  <c r="E47" i="3"/>
  <c r="F47" i="3"/>
  <c r="G47" i="3"/>
  <c r="C48" i="3"/>
  <c r="D48" i="3"/>
  <c r="E48" i="3"/>
  <c r="F48" i="3"/>
  <c r="G48" i="3"/>
  <c r="I49" i="3"/>
  <c r="J40" i="13" l="1"/>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AA15" i="30"/>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<sst xmlns="http://schemas.openxmlformats.org/spreadsheetml/2006/main" count="1554" uniqueCount="313">
  <si>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</si>
  <si>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</si>
  <si>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</si>
  <si>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</si>
  <si>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</si>
  <si>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</si>
  <si>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</si>
  <si>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</si>
  <si>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</si>
  <si>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</si>
  <si>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</si>
  <si>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</si>
  <si>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</si>
  <si>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</si>
  <si>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</si>
  <si>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</si>
  <si>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</si>
  <si>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</si>
  <si>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</si>
  <si>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</si>
  <si>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</si>
  <si>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</si>
  <si>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</si>
  <si>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</si>
  <si>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</si>
  <si>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</si>
  <si>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</si>
  <si>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</si>
  <si>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</si>
  <si>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</si>
  <si>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</si>
  <si>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</si>
  <si>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</si>
  <si>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</si>
  <si>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</si>
  <si>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</si>
  <si>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</si>
  <si>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</si>
  <si>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</si>
  <si>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</si>
  <si>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</si>
  <si>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</si>
  <si>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</si>
  <si>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</si>
  <si>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</si>
  <si>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</si>
  <si>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</si>
  <si>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</si>
  <si>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</si>
  <si>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</si>
  <si>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</si>
  <si>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</si>
  <si>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</si>
  <si>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</si>
  <si>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</si>
  <si>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</si>
  <si>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</si>
  <si>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</si>
  <si>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</si>
  <si>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</si>
  <si>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</si>
  <si>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</si>
  <si>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</si>
  <si>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</si>
  <si>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</si>
  <si>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</si>
  <si>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</si>
  <si>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</si>
  <si>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</si>
  <si>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</si>
  <si>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</si>
  <si>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</si>
  <si>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</si>
  <si>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</si>
  <si>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</si>
  <si>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</si>
  <si>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</si>
  <si>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</si>
  <si>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</si>
  <si>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</si>
  <si>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</si>
  <si>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</si>
  <si>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</si>
  <si>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</si>
  <si>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</si>
  <si>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</si>
  <si>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</si>
  <si>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</si>
  <si>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</si>
  <si>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</si>
  <si>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</si>
  <si>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</si>
  <si>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</si>
  <si>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</si>
  <si>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</si>
  <si>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</si>
  <si>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</si>
  <si>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</si>
  <si>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</si>
  <si>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</si>
  <si>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</si>
  <si>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</si>
  <si>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</si>
  <si>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</si>
  <si>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</si>
  <si>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</si>
  <si>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</si>
  <si>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</si>
  <si>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</si>
  <si>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</si>
  <si>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</si>
  <si>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</si>
  <si>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</si>
  <si>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</si>
  <si>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</si>
  <si>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</si>
  <si>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</si>
  <si>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</si>
  <si>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</si>
  <si>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</si>
  <si>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</si>
  <si>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</si>
  <si>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</si>
  <si>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</si>
  <si>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</si>
  <si>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</si>
  <si>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</si>
  <si>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</si>
  <si>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</si>
  <si>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</si>
  <si>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</si>
  <si>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</si>
  <si>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</si>
  <si>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</si>
  <si>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</si>
  <si>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</si>
  <si>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</si>
  <si>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</si>
  <si>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</si>
  <si>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</si>
  <si>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</si>
  <si>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</si>
  <si>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</si>
  <si>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</si>
  <si>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</si>
  <si>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</si>
  <si>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</si>
  <si>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</si>
  <si>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</si>
  <si>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</si>
  <si>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</si>
  <si>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</si>
  <si>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</si>
  <si>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</si>
  <si>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</si>
  <si>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</si>
  <si>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</si>
  <si>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</si>
  <si>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</si>
  <si>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</si>
  <si>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</si>
  <si>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</si>
  <si>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</si>
  <si>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</si>
  <si>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</si>
  <si>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</si>
  <si>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</si>
  <si>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</si>
  <si>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</si>
  <si>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</si>
  <si>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</si>
  <si>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</si>
  <si>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</si>
  <si>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</si>
  <si>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</si>
  <si>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</si>
  <si>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</si>
  <si>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</si>
  <si>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</si>
  <si>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</si>
  <si>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</si>
  <si>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</si>
  <si>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</si>
  <si>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</si>
  <si>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</si>
  <si>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</si>
  <si>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</si>
  <si>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</si>
  <si>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</si>
  <si>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</si>
  <si>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</si>
  <si>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</si>
  <si>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</si>
  <si>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</si>
  <si>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</si>
  <si>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</si>
  <si>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</si>
  <si>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</si>
  <si>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</si>
  <si>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</si>
  <si>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</si>
  <si>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</si>
  <si>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</si>
  <si>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</si>
  <si>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</si>
  <si>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</si>
  <si>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</si>
  <si>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</si>
  <si>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</si>
  <si>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</si>
  <si>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</si>
  <si>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</si>
  <si>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</si>
  <si>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</si>
  <si>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</si>
  <si>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</si>
  <si>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</si>
  <si>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</si>
  <si>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</si>
  <si>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</si>
  <si>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</si>
  <si>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</si>
  <si>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</si>
  <si>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</si>
  <si>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</si>
  <si>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</si>
  <si>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</si>
  <si>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</si>
  <si>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</si>
  <si>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</si>
  <si>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</si>
  <si>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</si>
  <si>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</si>
  <si>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</si>
  <si>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</si>
  <si>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</si>
  <si>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</si>
  <si>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</si>
  <si>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</si>
  <si>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</si>
  <si>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</si>
  <si>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</si>
  <si>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</si>
  <si>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</si>
  <si>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</si>
  <si>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</si>
  <si>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</si>
  <si>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</si>
  <si>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</si>
  <si>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</si>
  <si>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</si>
  <si>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</si>
  <si>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</si>
  <si>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</si>
  <si>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</si>
  <si>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</si>
  <si>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</si>
  <si>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</si>
  <si>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</si>
  <si>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</si>
  <si>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</si>
  <si>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</si>
  <si>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</si>
  <si>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</si>
  <si>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</si>
  <si>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</si>
  <si>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</si>
  <si>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</si>
  <si>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</si>
  <si>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</si>
  <si>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</si>
  <si>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</si>
  <si>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</si>
  <si>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</si>
  <si>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</si>
  <si>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</si>
  <si>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</si>
  <si>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</si>
  <si>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</si>
  <si>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</si>
  <si>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</si>
  <si>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</si>
  <si>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</si>
  <si>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</si>
  <si>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</si>
  <si>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</si>
  <si>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</si>
  <si>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</si>
  <si>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</si>
  <si>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</si>
  <si>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</si>
  <si>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</si>
  <si>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</si>
  <si>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</si>
  <si>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</si>
  <si>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</si>
  <si>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</si>
  <si>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</si>
  <si>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</si>
  <si>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r>
      <t>Juta m</t>
    </r>
    <r>
      <rPr>
        <vertAlign val="superscript"/>
        <sz val="13"/>
        <rFont val="Calibri"/>
        <family val="2"/>
      </rPr>
      <t>3</t>
    </r>
  </si>
  <si>
    <t>2019</t>
  </si>
  <si>
    <t>DATA   VOLUME   WADUK   JATI BARANG   5  TAHUN.</t>
  </si>
  <si>
    <t>n</t>
  </si>
  <si>
    <t>DATA VOLUME WADUK KEDUNGOMBO 8 TAHUN</t>
  </si>
  <si>
    <t>MOL</t>
  </si>
  <si>
    <t>2020</t>
  </si>
  <si>
    <t>Tahun 2020</t>
  </si>
  <si>
    <t>GRAFIK VOLUME HARIAN WADUK  SEJAWA TENGAH  TH 2020 ( juta m3 )</t>
  </si>
  <si>
    <t>MINGGU  :  III FEBRUARI 2020</t>
  </si>
  <si>
    <t>*) = KONDISI  SAMPAI DENGAN TANGGAL 17 FEBRUARI 2020</t>
  </si>
  <si>
    <t xml:space="preserve">MINGGU KE  III FEBRUARI  ( 10 FEBRUARI S/D 17 FEBRUARI 2020) dalam Juta m3  </t>
  </si>
  <si>
    <t>MINGGU KE III FEBRUARI 2020</t>
  </si>
  <si>
    <t>zs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</si>
</sst>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2"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8"/>
      </top>
      <bottom style="thin">
        <color indexed="64"/>
      </bottom>
      <diagonal/>
    </border>
  </borders>
  <cellStyleXfs count="75">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cellStyleXfs>
  <cellXfs count="893">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93"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3" fontId="0" fillId="0" borderId="0"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0" xfId="28" quotePrefix="1" applyNumberFormat="1" applyFont="1" applyFill="1" applyBorder="1" applyAlignment="1" applyProtection="1">
      <alignment horizontal="center"/>
    </xf>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2" fontId="75" fillId="0" borderId="12" xfId="0" applyNumberFormat="1" applyFont="1" applyFill="1" applyBorder="1" applyAlignment="1">
      <alignment horizontal="right" vertical="center"/>
    </xf>
    <xf numFmtId="2" fontId="73" fillId="0" borderId="12" xfId="0" applyNumberFormat="1" applyFont="1" applyFill="1" applyBorder="1" applyAlignment="1">
      <alignment horizontal="right" vertical="center"/>
    </xf>
    <xf numFmtId="2" fontId="73" fillId="0" borderId="12" xfId="0" applyNumberFormat="1" applyFont="1" applyFill="1" applyBorder="1" applyAlignment="1">
      <alignment horizontal="center" vertical="center"/>
    </xf>
    <xf numFmtId="2" fontId="73" fillId="0" borderId="42" xfId="0" applyNumberFormat="1" applyFont="1" applyFill="1" applyBorder="1" applyAlignment="1">
      <alignment horizontal="center"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43" fontId="47" fillId="33" borderId="99" xfId="28"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0" fontId="61" fillId="0" borderId="0" xfId="40" applyFont="1" applyAlignment="1" applyProtection="1">
      <alignment horizontal="center"/>
    </xf>
    <xf numFmtId="170" fontId="47" fillId="0" borderId="123" xfId="40" applyNumberFormat="1" applyFont="1" applyFill="1" applyBorder="1" applyAlignment="1" applyProtection="1">
      <alignment horizontal="center" vertical="center"/>
    </xf>
    <xf numFmtId="2" fontId="47" fillId="0" borderId="22" xfId="28" applyNumberFormat="1" applyFont="1" applyFill="1" applyBorder="1" applyAlignment="1" applyProtection="1">
      <alignment horizontal="center" vertical="center"/>
    </xf>
    <xf numFmtId="2" fontId="47" fillId="0" borderId="124" xfId="28" applyNumberFormat="1" applyFont="1" applyFill="1" applyBorder="1" applyAlignment="1" applyProtection="1">
      <alignment horizontal="center" vertical="center"/>
    </xf>
    <xf numFmtId="165" fontId="47" fillId="0" borderId="125" xfId="28" quotePrefix="1" applyNumberFormat="1" applyFont="1" applyFill="1" applyBorder="1" applyAlignment="1" applyProtection="1">
      <alignment horizontal="center"/>
    </xf>
    <xf numFmtId="165" fontId="47" fillId="0" borderId="22" xfId="28" quotePrefix="1" applyNumberFormat="1" applyFont="1" applyFill="1" applyBorder="1" applyAlignment="1" applyProtection="1">
      <alignment horizontal="center"/>
    </xf>
    <xf numFmtId="165" fontId="47" fillId="0" borderId="124" xfId="28" quotePrefix="1" applyNumberFormat="1" applyFont="1" applyFill="1" applyBorder="1" applyAlignment="1" applyProtection="1">
      <alignment horizontal="center"/>
    </xf>
    <xf numFmtId="165" fontId="48" fillId="0" borderId="125" xfId="28" quotePrefix="1" applyNumberFormat="1" applyFont="1" applyFill="1" applyBorder="1" applyAlignment="1" applyProtection="1">
      <alignment horizontal="center"/>
    </xf>
    <xf numFmtId="165" fontId="47" fillId="0" borderId="125" xfId="28" quotePrefix="1" applyNumberFormat="1" applyFont="1" applyFill="1" applyBorder="1" applyAlignment="1" applyProtection="1">
      <alignment horizontal="center" vertical="center"/>
    </xf>
    <xf numFmtId="43" fontId="47" fillId="33" borderId="97" xfId="0" applyNumberFormat="1" applyFont="1" applyFill="1" applyBorder="1" applyAlignment="1">
      <alignment horizontal="center" vertical="center"/>
    </xf>
    <xf numFmtId="43" fontId="55" fillId="33" borderId="97" xfId="28" applyNumberFormat="1" applyFont="1" applyFill="1" applyBorder="1" applyAlignment="1">
      <alignment horizontal="center" vertical="center"/>
    </xf>
    <xf numFmtId="169" fontId="55" fillId="33" borderId="97" xfId="28" applyNumberFormat="1" applyFont="1" applyFill="1" applyBorder="1" applyAlignment="1">
      <alignment horizontal="center" vertical="center"/>
    </xf>
    <xf numFmtId="43" fontId="55" fillId="33" borderId="97" xfId="28" quotePrefix="1" applyNumberFormat="1" applyFont="1" applyFill="1" applyBorder="1" applyAlignment="1">
      <alignment horizontal="center" vertical="center"/>
    </xf>
    <xf numFmtId="43" fontId="55" fillId="33" borderId="97" xfId="0" applyNumberFormat="1" applyFont="1" applyFill="1" applyBorder="1" applyAlignment="1">
      <alignment horizontal="center" vertical="center"/>
    </xf>
    <xf numFmtId="43" fontId="75"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55" fillId="33" borderId="39" xfId="28" applyNumberFormat="1" applyFont="1" applyFill="1" applyBorder="1" applyAlignment="1">
      <alignment horizontal="right" vertical="center" indent="1"/>
    </xf>
    <xf numFmtId="39" fontId="55" fillId="33" borderId="39" xfId="28" quotePrefix="1" applyNumberFormat="1" applyFont="1" applyFill="1" applyBorder="1" applyAlignment="1">
      <alignment horizontal="right" vertical="center" indent="1"/>
    </xf>
    <xf numFmtId="39" fontId="55" fillId="33" borderId="39" xfId="0" applyNumberFormat="1" applyFont="1" applyFill="1" applyBorder="1" applyAlignment="1">
      <alignment horizontal="right" vertical="center" indent="1"/>
    </xf>
    <xf numFmtId="43" fontId="73" fillId="33" borderId="39" xfId="28" applyNumberFormat="1" applyFont="1" applyFill="1" applyBorder="1" applyAlignment="1">
      <alignment horizontal="center" vertical="center"/>
    </xf>
    <xf numFmtId="43" fontId="73"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xf>
    <xf numFmtId="169" fontId="73" fillId="33" borderId="39" xfId="0" applyNumberFormat="1" applyFont="1" applyFill="1" applyBorder="1" applyAlignment="1">
      <alignment vertical="center"/>
    </xf>
    <xf numFmtId="43" fontId="75" fillId="33" borderId="39" xfId="28" applyNumberFormat="1" applyFont="1" applyFill="1" applyBorder="1" applyAlignment="1">
      <alignment vertical="center"/>
    </xf>
    <xf numFmtId="43" fontId="75" fillId="33" borderId="39" xfId="28" applyNumberFormat="1" applyFont="1" applyFill="1" applyBorder="1" applyAlignment="1">
      <alignment horizontal="center" vertical="center"/>
    </xf>
    <xf numFmtId="43" fontId="75" fillId="33" borderId="39" xfId="28" quotePrefix="1" applyNumberFormat="1" applyFont="1" applyFill="1" applyBorder="1" applyAlignment="1">
      <alignment horizontal="center" vertical="center"/>
    </xf>
    <xf numFmtId="43" fontId="75"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shrinkToFit="1"/>
    </xf>
    <xf numFmtId="169" fontId="75" fillId="33" borderId="39" xfId="0" applyNumberFormat="1" applyFont="1" applyFill="1" applyBorder="1" applyAlignment="1">
      <alignment horizontal="right" vertical="center"/>
    </xf>
    <xf numFmtId="169" fontId="73" fillId="33" borderId="39" xfId="0" applyNumberFormat="1" applyFont="1" applyFill="1" applyBorder="1" applyAlignment="1">
      <alignment horizontal="right" vertical="center"/>
    </xf>
    <xf numFmtId="178" fontId="47" fillId="27" borderId="16" xfId="0"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vertical="center"/>
    </xf>
    <xf numFmtId="43" fontId="47" fillId="27" borderId="12" xfId="0" applyNumberFormat="1" applyFont="1" applyFill="1" applyBorder="1" applyAlignment="1">
      <alignment horizontal="center" vertical="center"/>
    </xf>
    <xf numFmtId="43" fontId="47" fillId="27" borderId="11" xfId="28" applyNumberFormat="1" applyFont="1" applyFill="1" applyBorder="1" applyAlignment="1">
      <alignment vertical="center"/>
    </xf>
    <xf numFmtId="43" fontId="55" fillId="27" borderId="12" xfId="28" applyNumberFormat="1" applyFont="1" applyFill="1" applyBorder="1" applyAlignment="1">
      <alignment vertical="center"/>
    </xf>
    <xf numFmtId="43" fontId="55" fillId="27" borderId="12" xfId="28" quotePrefix="1" applyNumberFormat="1" applyFont="1" applyFill="1" applyBorder="1" applyAlignment="1">
      <alignment vertical="center"/>
    </xf>
    <xf numFmtId="43" fontId="55" fillId="27" borderId="11" xfId="28" quotePrefix="1" applyNumberFormat="1" applyFont="1" applyFill="1" applyBorder="1" applyAlignment="1">
      <alignment vertical="center"/>
    </xf>
    <xf numFmtId="43" fontId="55" fillId="27" borderId="12" xfId="0" applyNumberFormat="1" applyFont="1" applyFill="1" applyBorder="1" applyAlignment="1">
      <alignment vertical="center"/>
    </xf>
    <xf numFmtId="39" fontId="55" fillId="33" borderId="97" xfId="0" applyNumberFormat="1" applyFont="1" applyFill="1" applyBorder="1" applyAlignment="1">
      <alignment horizontal="right" vertical="center" indent="1"/>
    </xf>
    <xf numFmtId="9" fontId="47" fillId="33" borderId="97" xfId="43"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55" fillId="27" borderId="12"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5" fillId="27" borderId="12" xfId="0" applyNumberFormat="1" applyFont="1" applyFill="1" applyBorder="1" applyAlignment="1">
      <alignment horizontal="center" vertical="center"/>
    </xf>
    <xf numFmtId="39" fontId="47" fillId="27" borderId="12" xfId="0" applyNumberFormat="1" applyFont="1" applyFill="1" applyBorder="1" applyAlignment="1">
      <alignment vertical="center" shrinkToFit="1"/>
    </xf>
    <xf numFmtId="39" fontId="73" fillId="27" borderId="12" xfId="0" applyNumberFormat="1" applyFont="1" applyFill="1" applyBorder="1" applyAlignment="1">
      <alignment vertical="center"/>
    </xf>
    <xf numFmtId="39" fontId="73" fillId="27" borderId="11"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43" fontId="55" fillId="27" borderId="12" xfId="0" applyNumberFormat="1" applyFont="1" applyFill="1" applyBorder="1" applyAlignment="1">
      <alignment vertical="center" shrinkToFit="1"/>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72"/>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20" xfId="71"/>
    <cellStyle name="Comma 21" xfId="73"/>
    <cellStyle name="Comma 22" xfId="74"/>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5"/>
          <c:y val="9.3990755007704166E-2"/>
          <c:w val="0.82868525896414513"/>
          <c:h val="0.77966101694915557"/>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700.34</c:v>
                </c:pt>
              </c:numCache>
            </c:numRef>
          </c:val>
          <c:smooth val="0"/>
        </c:ser>
        <c:dLbls>
          <c:showLegendKey val="0"/>
          <c:showVal val="0"/>
          <c:showCatName val="0"/>
          <c:showSerName val="0"/>
          <c:showPercent val="0"/>
          <c:showBubbleSize val="0"/>
        </c:dLbls>
        <c:marker val="1"/>
        <c:smooth val="0"/>
        <c:axId val="27449984"/>
        <c:axId val="27451776"/>
      </c:lineChart>
      <c:catAx>
        <c:axId val="2744998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27451776"/>
        <c:crosses val="autoZero"/>
        <c:auto val="0"/>
        <c:lblAlgn val="ctr"/>
        <c:lblOffset val="100"/>
        <c:tickLblSkip val="1"/>
        <c:tickMarkSkip val="1"/>
        <c:noMultiLvlLbl val="0"/>
      </c:catAx>
      <c:valAx>
        <c:axId val="27451776"/>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27449984"/>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75" r="0.74803149606305075"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dLbls>
          <c:showLegendKey val="0"/>
          <c:showVal val="0"/>
          <c:showCatName val="0"/>
          <c:showSerName val="0"/>
          <c:showPercent val="0"/>
          <c:showBubbleSize val="0"/>
        </c:dLbls>
        <c:marker val="1"/>
        <c:smooth val="0"/>
        <c:axId val="64989056"/>
        <c:axId val="64990592"/>
      </c:lineChart>
      <c:catAx>
        <c:axId val="649890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64990592"/>
        <c:crosses val="autoZero"/>
        <c:auto val="0"/>
        <c:lblAlgn val="ctr"/>
        <c:lblOffset val="100"/>
        <c:tickLblSkip val="1"/>
        <c:tickMarkSkip val="1"/>
        <c:noMultiLvlLbl val="0"/>
      </c:catAx>
      <c:valAx>
        <c:axId val="64990592"/>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6498905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78"/>
          <c:y val="8.6757990867580223E-2"/>
          <c:w val="0.82170542635659227"/>
          <c:h val="0.71689497716895123"/>
        </c:manualLayout>
      </c:layout>
      <c:lineChart>
        <c:grouping val="standard"/>
        <c:varyColors val="0"/>
        <c:ser>
          <c:idx val="0"/>
          <c:order val="0"/>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1"/>
          <c:order val="1"/>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2"/>
          <c:order val="2"/>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3"/>
          <c:order val="3"/>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4"/>
          <c:order val="4"/>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dLbls>
          <c:showLegendKey val="0"/>
          <c:showVal val="0"/>
          <c:showCatName val="0"/>
          <c:showSerName val="0"/>
          <c:showPercent val="0"/>
          <c:showBubbleSize val="0"/>
        </c:dLbls>
        <c:marker val="1"/>
        <c:smooth val="0"/>
        <c:axId val="70640384"/>
        <c:axId val="70641920"/>
      </c:lineChart>
      <c:catAx>
        <c:axId val="7064038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70641920"/>
        <c:crosses val="autoZero"/>
        <c:auto val="0"/>
        <c:lblAlgn val="ctr"/>
        <c:lblOffset val="100"/>
        <c:tickLblSkip val="1"/>
        <c:tickMarkSkip val="1"/>
        <c:noMultiLvlLbl val="0"/>
      </c:catAx>
      <c:valAx>
        <c:axId val="70641920"/>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7064038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0179072"/>
        <c:axId val="72024064"/>
      </c:lineChart>
      <c:catAx>
        <c:axId val="7017907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2024064"/>
        <c:crosses val="autoZero"/>
        <c:auto val="1"/>
        <c:lblAlgn val="ctr"/>
        <c:lblOffset val="100"/>
        <c:noMultiLvlLbl val="0"/>
      </c:catAx>
      <c:valAx>
        <c:axId val="7202406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017907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75" l="0.70866141732288768" r="0.70866141732288768" t="0.74803149606305575" header="0.31496062992129253" footer="0.3149606299212925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72059136"/>
        <c:axId val="72065408"/>
      </c:barChart>
      <c:catAx>
        <c:axId val="72059136"/>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86"/>
              <c:y val="0.7617186351706051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2065408"/>
        <c:crossesAt val="0"/>
        <c:auto val="0"/>
        <c:lblAlgn val="ctr"/>
        <c:lblOffset val="100"/>
        <c:tickLblSkip val="1"/>
        <c:tickMarkSkip val="1"/>
        <c:noMultiLvlLbl val="0"/>
      </c:catAx>
      <c:valAx>
        <c:axId val="72065408"/>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01E-3"/>
              <c:y val="0.38281229846269338"/>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2059136"/>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581.6</c:v>
                </c:pt>
                <c:pt idx="28">
                  <c:v>583.95000000000005</c:v>
                </c:pt>
                <c:pt idx="29">
                  <c:v>586.62</c:v>
                </c:pt>
                <c:pt idx="30">
                  <c:v>589.03</c:v>
                </c:pt>
                <c:pt idx="31">
                  <c:v>594.27</c:v>
                </c:pt>
                <c:pt idx="32">
                  <c:v>600.49</c:v>
                </c:pt>
                <c:pt idx="33">
                  <c:v>602.54999999999995</c:v>
                </c:pt>
                <c:pt idx="34">
                  <c:v>612.39</c:v>
                </c:pt>
                <c:pt idx="35">
                  <c:v>616.53</c:v>
                </c:pt>
                <c:pt idx="36">
                  <c:v>623.99</c:v>
                </c:pt>
                <c:pt idx="37">
                  <c:v>635.01</c:v>
                </c:pt>
                <c:pt idx="41">
                  <c:v>642.96</c:v>
                </c:pt>
                <c:pt idx="42">
                  <c:v>644.61</c:v>
                </c:pt>
                <c:pt idx="43">
                  <c:v>646.84</c:v>
                </c:pt>
                <c:pt idx="44">
                  <c:v>649.76</c:v>
                </c:pt>
                <c:pt idx="45">
                  <c:v>650.83000000000004</c:v>
                </c:pt>
                <c:pt idx="46">
                  <c:v>640.70000000000005</c:v>
                </c:pt>
                <c:pt idx="47">
                  <c:v>651.95000000000005</c:v>
                </c:pt>
                <c:pt idx="48">
                  <c:v>664.97</c:v>
                </c:pt>
                <c:pt idx="49">
                  <c:v>680.15</c:v>
                </c:pt>
                <c:pt idx="50">
                  <c:v>700.34</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72160384"/>
        <c:axId val="72161920"/>
      </c:lineChart>
      <c:dateAx>
        <c:axId val="72160384"/>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72161920"/>
        <c:crosses val="autoZero"/>
        <c:auto val="0"/>
        <c:lblOffset val="100"/>
        <c:baseTimeUnit val="days"/>
        <c:majorUnit val="1"/>
        <c:majorTimeUnit val="months"/>
        <c:minorUnit val="1"/>
        <c:minorTimeUnit val="months"/>
      </c:dateAx>
      <c:valAx>
        <c:axId val="7216192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E-2"/>
              <c:y val="0.4763406717017527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216038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72351744"/>
        <c:axId val="7235366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2351744"/>
        <c:axId val="72353664"/>
      </c:lineChart>
      <c:catAx>
        <c:axId val="723517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72353664"/>
        <c:crosses val="autoZero"/>
        <c:auto val="0"/>
        <c:lblAlgn val="ctr"/>
        <c:lblOffset val="100"/>
        <c:tickLblSkip val="1"/>
        <c:tickMarkSkip val="1"/>
        <c:noMultiLvlLbl val="0"/>
      </c:catAx>
      <c:valAx>
        <c:axId val="7235366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3E-2"/>
              <c:y val="0.367602610045262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7235174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4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66"/>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30.887119999999999</c:v>
                </c:pt>
                <c:pt idx="1">
                  <c:v>29.641932000000001</c:v>
                </c:pt>
                <c:pt idx="2">
                  <c:v>37.220999999999997</c:v>
                </c:pt>
                <c:pt idx="3">
                  <c:v>418.86200000000002</c:v>
                </c:pt>
                <c:pt idx="4">
                  <c:v>205.321</c:v>
                </c:pt>
                <c:pt idx="5">
                  <c:v>24.260999999999999</c:v>
                </c:pt>
                <c:pt idx="6">
                  <c:v>238.97900000000001</c:v>
                </c:pt>
                <c:pt idx="7">
                  <c:v>3.6030000000000002</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27.218520000000002</c:v>
                </c:pt>
                <c:pt idx="1">
                  <c:v>50.873069999999998</c:v>
                </c:pt>
                <c:pt idx="2">
                  <c:v>31.63</c:v>
                </c:pt>
                <c:pt idx="3">
                  <c:v>210.3578080498005</c:v>
                </c:pt>
                <c:pt idx="4">
                  <c:v>107.88200000000001</c:v>
                </c:pt>
                <c:pt idx="5">
                  <c:v>22.792999999999999</c:v>
                </c:pt>
                <c:pt idx="6">
                  <c:v>187.37100000000001</c:v>
                </c:pt>
                <c:pt idx="7">
                  <c:v>15.532999999999999</c:v>
                </c:pt>
              </c:numCache>
            </c:numRef>
          </c:val>
        </c:ser>
        <c:dLbls>
          <c:showLegendKey val="0"/>
          <c:showVal val="0"/>
          <c:showCatName val="0"/>
          <c:showSerName val="0"/>
          <c:showPercent val="0"/>
          <c:showBubbleSize val="0"/>
        </c:dLbls>
        <c:gapWidth val="150"/>
        <c:axId val="72439680"/>
        <c:axId val="72458240"/>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55.73</c:v>
                </c:pt>
                <c:pt idx="1">
                  <c:v>74.11</c:v>
                </c:pt>
                <c:pt idx="2">
                  <c:v>462.47</c:v>
                </c:pt>
                <c:pt idx="3">
                  <c:v>83.91</c:v>
                </c:pt>
                <c:pt idx="4">
                  <c:v>132.68</c:v>
                </c:pt>
                <c:pt idx="5">
                  <c:v>65.599999999999994</c:v>
                </c:pt>
                <c:pt idx="6">
                  <c:v>169.5</c:v>
                </c:pt>
                <c:pt idx="7">
                  <c:v>227.73</c:v>
                </c:pt>
              </c:numCache>
            </c:numRef>
          </c:cat>
          <c:val>
            <c:numRef>
              <c:f>'RINCI 1'!$F$9:$F$16</c:f>
              <c:numCache>
                <c:formatCode>_(* #,##0.00_);_(* \(#,##0.00\);_(* "-"??_);_(@_)</c:formatCode>
                <c:ptCount val="8"/>
                <c:pt idx="0">
                  <c:v>55.73</c:v>
                </c:pt>
                <c:pt idx="1">
                  <c:v>74.11</c:v>
                </c:pt>
                <c:pt idx="2">
                  <c:v>462.47</c:v>
                </c:pt>
                <c:pt idx="3">
                  <c:v>83.91</c:v>
                </c:pt>
                <c:pt idx="4">
                  <c:v>132.68</c:v>
                </c:pt>
                <c:pt idx="5">
                  <c:v>65.599999999999994</c:v>
                </c:pt>
                <c:pt idx="6">
                  <c:v>169.5</c:v>
                </c:pt>
                <c:pt idx="7">
                  <c:v>227.73</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55.08</c:v>
                </c:pt>
                <c:pt idx="1">
                  <c:v>77.78</c:v>
                </c:pt>
                <c:pt idx="2">
                  <c:v>462.16</c:v>
                </c:pt>
                <c:pt idx="3">
                  <c:v>77.09</c:v>
                </c:pt>
                <c:pt idx="4">
                  <c:v>129.72999999999999</c:v>
                </c:pt>
                <c:pt idx="5">
                  <c:v>64.77</c:v>
                </c:pt>
                <c:pt idx="6">
                  <c:v>163.44999999999999</c:v>
                </c:pt>
                <c:pt idx="7">
                  <c:v>230.48</c:v>
                </c:pt>
              </c:numCache>
            </c:numRef>
          </c:cat>
          <c:val>
            <c:numRef>
              <c:f>'RINCI 1'!$G$9:$G$16</c:f>
              <c:numCache>
                <c:formatCode>_(* #,##0.00_);_(* \(#,##0.00\);_(* "-"??_);_(@_)</c:formatCode>
                <c:ptCount val="8"/>
                <c:pt idx="0">
                  <c:v>55.08</c:v>
                </c:pt>
                <c:pt idx="1">
                  <c:v>77.78</c:v>
                </c:pt>
                <c:pt idx="2">
                  <c:v>462.16</c:v>
                </c:pt>
                <c:pt idx="3">
                  <c:v>77.09</c:v>
                </c:pt>
                <c:pt idx="4">
                  <c:v>129.72999999999999</c:v>
                </c:pt>
                <c:pt idx="5">
                  <c:v>64.77</c:v>
                </c:pt>
                <c:pt idx="6">
                  <c:v>163.44999999999999</c:v>
                </c:pt>
                <c:pt idx="7">
                  <c:v>230.48</c:v>
                </c:pt>
              </c:numCache>
            </c:numRef>
          </c:val>
          <c:smooth val="0"/>
        </c:ser>
        <c:dLbls>
          <c:showLegendKey val="0"/>
          <c:showVal val="0"/>
          <c:showCatName val="0"/>
          <c:showSerName val="0"/>
          <c:showPercent val="0"/>
          <c:showBubbleSize val="0"/>
        </c:dLbls>
        <c:marker val="1"/>
        <c:smooth val="0"/>
        <c:axId val="72460160"/>
        <c:axId val="72466432"/>
      </c:lineChart>
      <c:catAx>
        <c:axId val="7243968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72458240"/>
        <c:crossesAt val="10"/>
        <c:auto val="0"/>
        <c:lblAlgn val="ctr"/>
        <c:lblOffset val="100"/>
        <c:tickLblSkip val="1"/>
        <c:tickMarkSkip val="1"/>
        <c:noMultiLvlLbl val="0"/>
      </c:catAx>
      <c:valAx>
        <c:axId val="72458240"/>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05E-3"/>
              <c:y val="0.4568344751129944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2439680"/>
        <c:crosses val="autoZero"/>
        <c:crossBetween val="between"/>
        <c:majorUnit val="50"/>
      </c:valAx>
      <c:catAx>
        <c:axId val="72460160"/>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05"/>
              <c:y val="5.0959379175076015E-2"/>
            </c:manualLayout>
          </c:layout>
          <c:overlay val="0"/>
          <c:spPr>
            <a:noFill/>
            <a:ln w="25400">
              <a:noFill/>
            </a:ln>
          </c:spPr>
        </c:title>
        <c:numFmt formatCode="_(* #,##0.00_);_(* \(#,##0.00\);_(* &quot;-&quot;??_);_(@_)" sourceLinked="1"/>
        <c:majorTickMark val="out"/>
        <c:minorTickMark val="none"/>
        <c:tickLblPos val="nextTo"/>
        <c:crossAx val="72466432"/>
        <c:crosses val="autoZero"/>
        <c:auto val="0"/>
        <c:lblAlgn val="ctr"/>
        <c:lblOffset val="100"/>
        <c:noMultiLvlLbl val="0"/>
      </c:catAx>
      <c:valAx>
        <c:axId val="72466432"/>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04"/>
              <c:y val="0.4730215943223710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246016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2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1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0.51800000000000002</c:v>
                </c:pt>
                <c:pt idx="1">
                  <c:v>0.222</c:v>
                </c:pt>
                <c:pt idx="2">
                  <c:v>0.17699999999999999</c:v>
                </c:pt>
                <c:pt idx="3">
                  <c:v>0.78700000000000003</c:v>
                </c:pt>
                <c:pt idx="4">
                  <c:v>5.8999999999999997E-2</c:v>
                </c:pt>
                <c:pt idx="5">
                  <c:v>7.3999999999999996E-2</c:v>
                </c:pt>
                <c:pt idx="6">
                  <c:v>4.984</c:v>
                </c:pt>
                <c:pt idx="7">
                  <c:v>2.8559999999999999</c:v>
                </c:pt>
                <c:pt idx="8">
                  <c:v>0.83</c:v>
                </c:pt>
                <c:pt idx="9">
                  <c:v>1.393</c:v>
                </c:pt>
              </c:numCache>
            </c:numRef>
          </c:val>
        </c:ser>
        <c:dLbls>
          <c:showLegendKey val="0"/>
          <c:showVal val="0"/>
          <c:showCatName val="0"/>
          <c:showSerName val="0"/>
          <c:showPercent val="0"/>
          <c:showBubbleSize val="0"/>
        </c:dLbls>
        <c:gapWidth val="150"/>
        <c:axId val="72835840"/>
        <c:axId val="7283737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0.69499999999999995</c:v>
                </c:pt>
                <c:pt idx="1">
                  <c:v>0.5</c:v>
                </c:pt>
                <c:pt idx="2">
                  <c:v>0.51300000000000001</c:v>
                </c:pt>
                <c:pt idx="3">
                  <c:v>0.61599999999999999</c:v>
                </c:pt>
                <c:pt idx="4">
                  <c:v>6.7000000000000004E-2</c:v>
                </c:pt>
                <c:pt idx="5">
                  <c:v>0.10299999999999999</c:v>
                </c:pt>
                <c:pt idx="6">
                  <c:v>4.32</c:v>
                </c:pt>
                <c:pt idx="7">
                  <c:v>1.2629999999999999</c:v>
                </c:pt>
                <c:pt idx="8">
                  <c:v>4.1539999999999999</c:v>
                </c:pt>
                <c:pt idx="9">
                  <c:v>1.41</c:v>
                </c:pt>
              </c:numCache>
            </c:numRef>
          </c:val>
          <c:smooth val="0"/>
        </c:ser>
        <c:dLbls>
          <c:showLegendKey val="0"/>
          <c:showVal val="0"/>
          <c:showCatName val="0"/>
          <c:showSerName val="0"/>
          <c:showPercent val="0"/>
          <c:showBubbleSize val="0"/>
        </c:dLbls>
        <c:marker val="1"/>
        <c:smooth val="0"/>
        <c:axId val="72851840"/>
        <c:axId val="72853376"/>
      </c:lineChart>
      <c:catAx>
        <c:axId val="7283584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72837376"/>
        <c:crosses val="autoZero"/>
        <c:auto val="1"/>
        <c:lblAlgn val="ctr"/>
        <c:lblOffset val="100"/>
        <c:tickMarkSkip val="1"/>
        <c:noMultiLvlLbl val="0"/>
      </c:catAx>
      <c:valAx>
        <c:axId val="7283737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7E-2"/>
              <c:y val="0.34698687664042116"/>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2835840"/>
        <c:crosses val="autoZero"/>
        <c:crossBetween val="between"/>
        <c:majorUnit val="0.5"/>
      </c:valAx>
      <c:catAx>
        <c:axId val="72851840"/>
        <c:scaling>
          <c:orientation val="minMax"/>
        </c:scaling>
        <c:delete val="1"/>
        <c:axPos val="b"/>
        <c:majorTickMark val="out"/>
        <c:minorTickMark val="none"/>
        <c:tickLblPos val="nextTo"/>
        <c:crossAx val="72853376"/>
        <c:crosses val="autoZero"/>
        <c:auto val="1"/>
        <c:lblAlgn val="ctr"/>
        <c:lblOffset val="100"/>
        <c:noMultiLvlLbl val="0"/>
      </c:catAx>
      <c:valAx>
        <c:axId val="72853376"/>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72851840"/>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67"/>
          <c:w val="0.5289375076352405"/>
          <c:h val="9.895834759785507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323.5</c:v>
                </c:pt>
                <c:pt idx="1">
                  <c:v>126.56</c:v>
                </c:pt>
                <c:pt idx="2">
                  <c:v>279.64999999999998</c:v>
                </c:pt>
                <c:pt idx="3">
                  <c:v>98</c:v>
                </c:pt>
                <c:pt idx="4">
                  <c:v>189</c:v>
                </c:pt>
                <c:pt idx="5">
                  <c:v>170.27</c:v>
                </c:pt>
                <c:pt idx="6">
                  <c:v>151.47</c:v>
                </c:pt>
                <c:pt idx="7">
                  <c:v>239.7</c:v>
                </c:pt>
                <c:pt idx="8">
                  <c:v>118.75</c:v>
                </c:pt>
                <c:pt idx="9">
                  <c:v>109.6</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325.5</c:v>
                </c:pt>
                <c:pt idx="1">
                  <c:v>129.19999999999999</c:v>
                </c:pt>
                <c:pt idx="2">
                  <c:v>282.77999999999997</c:v>
                </c:pt>
                <c:pt idx="3">
                  <c:v>97.2</c:v>
                </c:pt>
                <c:pt idx="4">
                  <c:v>189.17</c:v>
                </c:pt>
                <c:pt idx="5">
                  <c:v>171.45</c:v>
                </c:pt>
                <c:pt idx="6">
                  <c:v>151.16999999999999</c:v>
                </c:pt>
                <c:pt idx="7">
                  <c:v>236.71</c:v>
                </c:pt>
                <c:pt idx="8">
                  <c:v>120.75</c:v>
                </c:pt>
                <c:pt idx="9">
                  <c:v>109.62</c:v>
                </c:pt>
              </c:numCache>
            </c:numRef>
          </c:val>
        </c:ser>
        <c:dLbls>
          <c:showLegendKey val="0"/>
          <c:showVal val="0"/>
          <c:showCatName val="0"/>
          <c:showSerName val="0"/>
          <c:showPercent val="0"/>
          <c:showBubbleSize val="0"/>
        </c:dLbls>
        <c:gapWidth val="150"/>
        <c:axId val="71896448"/>
        <c:axId val="71902336"/>
      </c:barChart>
      <c:catAx>
        <c:axId val="7189644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71902336"/>
        <c:crossesAt val="0"/>
        <c:auto val="0"/>
        <c:lblAlgn val="ctr"/>
        <c:lblOffset val="100"/>
        <c:tickLblSkip val="1"/>
        <c:tickMarkSkip val="1"/>
        <c:noMultiLvlLbl val="0"/>
      </c:catAx>
      <c:valAx>
        <c:axId val="71902336"/>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7189644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4"/>
          <c:w val="0.36270038791381626"/>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75" r="0.74803149606305575"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6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27.218520000000002</c:v>
                </c:pt>
                <c:pt idx="1">
                  <c:v>50.873069999999998</c:v>
                </c:pt>
                <c:pt idx="2">
                  <c:v>31.63</c:v>
                </c:pt>
                <c:pt idx="3">
                  <c:v>210.3578080498005</c:v>
                </c:pt>
                <c:pt idx="4">
                  <c:v>107.88200000000001</c:v>
                </c:pt>
                <c:pt idx="5">
                  <c:v>22.792999999999999</c:v>
                </c:pt>
                <c:pt idx="6">
                  <c:v>187.37100000000001</c:v>
                </c:pt>
                <c:pt idx="7">
                  <c:v>15.532999999999999</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27360640"/>
        <c:axId val="27366528"/>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27.218520000000002</c:v>
                </c:pt>
                <c:pt idx="1">
                  <c:v>50.873069999999998</c:v>
                </c:pt>
                <c:pt idx="2">
                  <c:v>31.63</c:v>
                </c:pt>
                <c:pt idx="3">
                  <c:v>210.3578080498005</c:v>
                </c:pt>
                <c:pt idx="4">
                  <c:v>107.88200000000001</c:v>
                </c:pt>
                <c:pt idx="5">
                  <c:v>22.792999999999999</c:v>
                </c:pt>
                <c:pt idx="6">
                  <c:v>187.37100000000001</c:v>
                </c:pt>
                <c:pt idx="7">
                  <c:v>15.532999999999999</c:v>
                </c:pt>
              </c:numCache>
            </c:numRef>
          </c:cat>
          <c:val>
            <c:numRef>
              <c:f>'RINCI 1'!$F$9:$F$16</c:f>
              <c:numCache>
                <c:formatCode>_(* #,##0.00_);_(* \(#,##0.00\);_(* "-"??_);_(@_)</c:formatCode>
                <c:ptCount val="8"/>
                <c:pt idx="0">
                  <c:v>55.73</c:v>
                </c:pt>
                <c:pt idx="1">
                  <c:v>74.11</c:v>
                </c:pt>
                <c:pt idx="2">
                  <c:v>462.47</c:v>
                </c:pt>
                <c:pt idx="3">
                  <c:v>83.91</c:v>
                </c:pt>
                <c:pt idx="4">
                  <c:v>132.68</c:v>
                </c:pt>
                <c:pt idx="5">
                  <c:v>65.599999999999994</c:v>
                </c:pt>
                <c:pt idx="6">
                  <c:v>169.5</c:v>
                </c:pt>
                <c:pt idx="7">
                  <c:v>227.73</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27.218520000000002</c:v>
                </c:pt>
                <c:pt idx="1">
                  <c:v>50.873069999999998</c:v>
                </c:pt>
                <c:pt idx="2">
                  <c:v>31.63</c:v>
                </c:pt>
                <c:pt idx="3">
                  <c:v>210.3578080498005</c:v>
                </c:pt>
                <c:pt idx="4">
                  <c:v>107.88200000000001</c:v>
                </c:pt>
                <c:pt idx="5">
                  <c:v>22.792999999999999</c:v>
                </c:pt>
                <c:pt idx="6">
                  <c:v>187.37100000000001</c:v>
                </c:pt>
                <c:pt idx="7">
                  <c:v>15.532999999999999</c:v>
                </c:pt>
              </c:numCache>
            </c:numRef>
          </c:cat>
          <c:val>
            <c:numRef>
              <c:f>'RINCI 1'!$G$9:$G$16</c:f>
              <c:numCache>
                <c:formatCode>_(* #,##0.00_);_(* \(#,##0.00\);_(* "-"??_);_(@_)</c:formatCode>
                <c:ptCount val="8"/>
                <c:pt idx="0">
                  <c:v>55.08</c:v>
                </c:pt>
                <c:pt idx="1">
                  <c:v>77.78</c:v>
                </c:pt>
                <c:pt idx="2">
                  <c:v>462.16</c:v>
                </c:pt>
                <c:pt idx="3">
                  <c:v>77.09</c:v>
                </c:pt>
                <c:pt idx="4">
                  <c:v>129.72999999999999</c:v>
                </c:pt>
                <c:pt idx="5">
                  <c:v>64.77</c:v>
                </c:pt>
                <c:pt idx="6">
                  <c:v>163.44999999999999</c:v>
                </c:pt>
                <c:pt idx="7">
                  <c:v>230.48</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27368448"/>
        <c:axId val="27378816"/>
      </c:lineChart>
      <c:catAx>
        <c:axId val="2736064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7366528"/>
        <c:crossesAt val="10"/>
        <c:auto val="0"/>
        <c:lblAlgn val="ctr"/>
        <c:lblOffset val="100"/>
        <c:tickLblSkip val="1"/>
        <c:tickMarkSkip val="1"/>
        <c:noMultiLvlLbl val="0"/>
      </c:catAx>
      <c:valAx>
        <c:axId val="27366528"/>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7360640"/>
        <c:crosses val="autoZero"/>
        <c:crossBetween val="between"/>
        <c:majorUnit val="100"/>
      </c:valAx>
      <c:catAx>
        <c:axId val="27368448"/>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83"/>
              <c:y val="0.56538899304253643"/>
            </c:manualLayout>
          </c:layout>
          <c:overlay val="0"/>
          <c:spPr>
            <a:noFill/>
            <a:ln w="25400">
              <a:noFill/>
            </a:ln>
          </c:spPr>
        </c:title>
        <c:numFmt formatCode="_(* #,##0.000_);_(* \(#,##0.000\);_(* &quot;-&quot;??_);_(@_)" sourceLinked="1"/>
        <c:majorTickMark val="out"/>
        <c:minorTickMark val="none"/>
        <c:tickLblPos val="nextTo"/>
        <c:crossAx val="27378816"/>
        <c:crosses val="autoZero"/>
        <c:auto val="0"/>
        <c:lblAlgn val="ctr"/>
        <c:lblOffset val="100"/>
        <c:noMultiLvlLbl val="0"/>
      </c:catAx>
      <c:valAx>
        <c:axId val="27378816"/>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05"/>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7368448"/>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63"/>
          <c:w val="0.61282400153381622"/>
          <c:h val="0.3138449915982738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1.6950000000000001</c:v>
                </c:pt>
                <c:pt idx="9">
                  <c:v>0.69099999999999995</c:v>
                </c:pt>
                <c:pt idx="10">
                  <c:v>5.6040000000000001</c:v>
                </c:pt>
                <c:pt idx="11">
                  <c:v>6.2530000000000001</c:v>
                </c:pt>
              </c:numCache>
            </c:numRef>
          </c:val>
          <c:smooth val="0"/>
        </c:ser>
        <c:ser>
          <c:idx val="1"/>
          <c:order val="1"/>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2"/>
          <c:order val="2"/>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3"/>
          <c:order val="3"/>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4"/>
          <c:order val="4"/>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dLbls>
          <c:showLegendKey val="0"/>
          <c:showVal val="0"/>
          <c:showCatName val="0"/>
          <c:showSerName val="0"/>
          <c:showPercent val="0"/>
          <c:showBubbleSize val="0"/>
        </c:dLbls>
        <c:marker val="1"/>
        <c:smooth val="0"/>
        <c:axId val="43333120"/>
        <c:axId val="43334656"/>
      </c:lineChart>
      <c:catAx>
        <c:axId val="43333120"/>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43334656"/>
        <c:crosses val="autoZero"/>
        <c:auto val="0"/>
        <c:lblAlgn val="ctr"/>
        <c:lblOffset val="100"/>
        <c:tickLblSkip val="1"/>
        <c:tickMarkSkip val="1"/>
        <c:noMultiLvlLbl val="0"/>
      </c:catAx>
      <c:valAx>
        <c:axId val="43334656"/>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4333312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GRARWNING!$F$4</c:f>
              <c:strCache>
                <c:ptCount val="1"/>
                <c:pt idx="0">
                  <c:v>2015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1"/>
          <c:order val="1"/>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2"/>
          <c:order val="2"/>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3"/>
          <c:order val="3"/>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4"/>
          <c:order val="4"/>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dLbls>
          <c:showLegendKey val="0"/>
          <c:showVal val="0"/>
          <c:showCatName val="0"/>
          <c:showSerName val="0"/>
          <c:showPercent val="0"/>
          <c:showBubbleSize val="0"/>
        </c:dLbls>
        <c:marker val="1"/>
        <c:smooth val="0"/>
        <c:axId val="43422080"/>
        <c:axId val="43423616"/>
      </c:lineChart>
      <c:catAx>
        <c:axId val="43422080"/>
        <c:scaling>
          <c:orientation val="minMax"/>
        </c:scaling>
        <c:delete val="0"/>
        <c:axPos val="b"/>
        <c:majorTickMark val="none"/>
        <c:minorTickMark val="none"/>
        <c:tickLblPos val="nextTo"/>
        <c:crossAx val="43423616"/>
        <c:crosses val="autoZero"/>
        <c:auto val="1"/>
        <c:lblAlgn val="ctr"/>
        <c:lblOffset val="100"/>
        <c:noMultiLvlLbl val="0"/>
      </c:catAx>
      <c:valAx>
        <c:axId val="43423616"/>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43422080"/>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1"/>
          <c:order val="1"/>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2"/>
          <c:order val="2"/>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3"/>
          <c:order val="3"/>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4"/>
          <c:order val="4"/>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dLbls>
          <c:showLegendKey val="0"/>
          <c:showVal val="0"/>
          <c:showCatName val="0"/>
          <c:showSerName val="0"/>
          <c:showPercent val="0"/>
          <c:showBubbleSize val="0"/>
        </c:dLbls>
        <c:marker val="1"/>
        <c:smooth val="0"/>
        <c:axId val="43754624"/>
        <c:axId val="43756160"/>
      </c:lineChart>
      <c:catAx>
        <c:axId val="4375462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43756160"/>
        <c:crosses val="autoZero"/>
        <c:auto val="0"/>
        <c:lblAlgn val="ctr"/>
        <c:lblOffset val="100"/>
        <c:tickLblSkip val="1"/>
        <c:tickMarkSkip val="1"/>
        <c:noMultiLvlLbl val="0"/>
      </c:catAx>
      <c:valAx>
        <c:axId val="4375616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43754624"/>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GRAJATIBARANG!$F$4</c:f>
              <c:strCache>
                <c:ptCount val="1"/>
                <c:pt idx="0">
                  <c:v>2015</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GRAJATIBARANG!$F$5:$F$16</c:f>
              <c:numCache>
                <c:formatCode>_(* #,##0.000_);_(* \(#,##0.000\);_(* "-"??_);_(@_)</c:formatCode>
                <c:ptCount val="12"/>
              </c:numCache>
            </c:numRef>
          </c:val>
          <c:smooth val="0"/>
        </c:ser>
        <c:ser>
          <c:idx val="1"/>
          <c:order val="1"/>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2"/>
          <c:order val="2"/>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3"/>
          <c:order val="3"/>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4"/>
          <c:order val="4"/>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dLbls>
          <c:showLegendKey val="0"/>
          <c:showVal val="0"/>
          <c:showCatName val="0"/>
          <c:showSerName val="0"/>
          <c:showPercent val="0"/>
          <c:showBubbleSize val="0"/>
        </c:dLbls>
        <c:marker val="1"/>
        <c:smooth val="0"/>
        <c:axId val="43482496"/>
        <c:axId val="43484288"/>
      </c:lineChart>
      <c:catAx>
        <c:axId val="434824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43484288"/>
        <c:crossesAt val="0"/>
        <c:auto val="0"/>
        <c:lblAlgn val="ctr"/>
        <c:lblOffset val="100"/>
        <c:tickMarkSkip val="1"/>
        <c:noMultiLvlLbl val="0"/>
      </c:catAx>
      <c:valAx>
        <c:axId val="43484288"/>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434824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43645184"/>
        <c:axId val="43651072"/>
      </c:lineChart>
      <c:catAx>
        <c:axId val="4364518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43651072"/>
        <c:crosses val="autoZero"/>
        <c:auto val="0"/>
        <c:lblAlgn val="ctr"/>
        <c:lblOffset val="100"/>
        <c:tickLblSkip val="1"/>
        <c:tickMarkSkip val="1"/>
        <c:noMultiLvlLbl val="0"/>
      </c:catAx>
      <c:valAx>
        <c:axId val="43651072"/>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43645184"/>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56"/>
          <c:y val="2.6862026862026867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dLbls>
          <c:showLegendKey val="0"/>
          <c:showVal val="0"/>
          <c:showCatName val="0"/>
          <c:showSerName val="0"/>
          <c:showPercent val="0"/>
          <c:showBubbleSize val="0"/>
        </c:dLbls>
        <c:marker val="1"/>
        <c:smooth val="0"/>
        <c:axId val="43921408"/>
        <c:axId val="43923328"/>
      </c:lineChart>
      <c:catAx>
        <c:axId val="4392140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43923328"/>
        <c:crosses val="autoZero"/>
        <c:auto val="0"/>
        <c:lblAlgn val="ctr"/>
        <c:lblOffset val="100"/>
        <c:tickLblSkip val="1"/>
        <c:tickMarkSkip val="1"/>
        <c:noMultiLvlLbl val="0"/>
      </c:catAx>
      <c:valAx>
        <c:axId val="43923328"/>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43921408"/>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86" r="0.74803149606305186"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1"/>
          <c:order val="1"/>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2"/>
          <c:order val="2"/>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3"/>
          <c:order val="3"/>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4"/>
          <c:order val="4"/>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dLbls>
          <c:showLegendKey val="0"/>
          <c:showVal val="0"/>
          <c:showCatName val="0"/>
          <c:showSerName val="0"/>
          <c:showPercent val="0"/>
          <c:showBubbleSize val="0"/>
        </c:dLbls>
        <c:marker val="1"/>
        <c:smooth val="0"/>
        <c:axId val="64921984"/>
        <c:axId val="64923520"/>
      </c:lineChart>
      <c:catAx>
        <c:axId val="649219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4923520"/>
        <c:crossesAt val="0"/>
        <c:auto val="0"/>
        <c:lblAlgn val="ctr"/>
        <c:lblOffset val="100"/>
        <c:tickLblSkip val="1"/>
        <c:tickMarkSkip val="1"/>
        <c:noMultiLvlLbl val="0"/>
      </c:catAx>
      <c:valAx>
        <c:axId val="64923520"/>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4921984"/>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dLbls>
          <c:showLegendKey val="0"/>
          <c:showVal val="0"/>
          <c:showCatName val="0"/>
          <c:showSerName val="0"/>
          <c:showPercent val="0"/>
          <c:showBubbleSize val="0"/>
        </c:dLbls>
        <c:marker val="1"/>
        <c:smooth val="0"/>
        <c:axId val="65031168"/>
        <c:axId val="65037056"/>
      </c:lineChart>
      <c:catAx>
        <c:axId val="650311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5037056"/>
        <c:crossesAt val="0"/>
        <c:auto val="0"/>
        <c:lblAlgn val="ctr"/>
        <c:lblOffset val="100"/>
        <c:tickMarkSkip val="1"/>
        <c:noMultiLvlLbl val="0"/>
      </c:catAx>
      <c:valAx>
        <c:axId val="65037056"/>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503116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9</xdr:col>
      <xdr:colOff>190500</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409574</xdr:colOff>
      <xdr:row>15</xdr:row>
      <xdr:rowOff>66675</xdr:rowOff>
    </xdr:from>
    <xdr:to>
      <xdr:col>9</xdr:col>
      <xdr:colOff>238125</xdr:colOff>
      <xdr:row>30</xdr:row>
      <xdr:rowOff>47625</xdr:rowOff>
    </xdr:to>
    <xdr:grpSp>
      <xdr:nvGrpSpPr>
        <xdr:cNvPr id="8" name="Group 7"/>
        <xdr:cNvGrpSpPr/>
      </xdr:nvGrpSpPr>
      <xdr:grpSpPr>
        <a:xfrm>
          <a:off x="101917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opLeftCell="A13" zoomScale="90" zoomScaleNormal="90" workbookViewId="0">
      <selection activeCell="K27" sqref="K27"/>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16.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71" t="s">
        <v>1</v>
      </c>
      <c r="C4" s="572">
        <v>2014</v>
      </c>
      <c r="D4" s="572">
        <v>2015</v>
      </c>
      <c r="E4" s="749">
        <v>2016</v>
      </c>
      <c r="F4" s="751">
        <v>2017</v>
      </c>
      <c r="G4" s="747">
        <v>2018</v>
      </c>
      <c r="H4" s="743">
        <v>2019</v>
      </c>
      <c r="I4" s="741">
        <v>2020</v>
      </c>
      <c r="K4" s="254"/>
      <c r="L4" s="255"/>
      <c r="M4" s="255"/>
      <c r="N4" s="255"/>
      <c r="O4" s="255"/>
      <c r="P4" s="255"/>
    </row>
    <row r="5" spans="2:16" ht="21" customHeight="1" thickBot="1" x14ac:dyDescent="0.3">
      <c r="B5" s="571" t="s">
        <v>2</v>
      </c>
      <c r="C5" s="739">
        <v>1269.796</v>
      </c>
      <c r="D5" s="739">
        <v>1220.8030000000001</v>
      </c>
      <c r="E5" s="750">
        <v>650.16999999999996</v>
      </c>
      <c r="F5" s="752">
        <v>1550.17</v>
      </c>
      <c r="G5" s="748">
        <v>1337.03</v>
      </c>
      <c r="H5" s="744">
        <v>685.98</v>
      </c>
      <c r="I5" s="742">
        <v>578.73</v>
      </c>
      <c r="K5" s="256"/>
      <c r="L5" s="257"/>
      <c r="M5" s="257"/>
      <c r="N5" s="257"/>
      <c r="O5" s="257"/>
      <c r="P5" s="257"/>
    </row>
    <row r="6" spans="2:16" ht="21" customHeight="1" thickBot="1" x14ac:dyDescent="0.3">
      <c r="B6" s="571" t="s">
        <v>3</v>
      </c>
      <c r="C6" s="739">
        <v>1337.1590000000001</v>
      </c>
      <c r="D6" s="739">
        <v>1468.3579999999999</v>
      </c>
      <c r="E6" s="750">
        <v>1032.74</v>
      </c>
      <c r="F6" s="752">
        <v>1611.58</v>
      </c>
      <c r="G6" s="748">
        <v>1607.51</v>
      </c>
      <c r="H6" s="745">
        <v>965.1</v>
      </c>
      <c r="I6" s="742">
        <v>700.34</v>
      </c>
      <c r="J6" s="253" t="s">
        <v>273</v>
      </c>
      <c r="K6" s="256"/>
      <c r="L6" s="257"/>
      <c r="M6" s="257"/>
      <c r="N6" s="257"/>
      <c r="O6" s="257"/>
      <c r="P6" s="257"/>
    </row>
    <row r="7" spans="2:16" ht="21" customHeight="1" thickBot="1" x14ac:dyDescent="0.3">
      <c r="B7" s="571" t="s">
        <v>4</v>
      </c>
      <c r="C7" s="739">
        <v>1484.335</v>
      </c>
      <c r="D7" s="739">
        <v>1612.5889999999999</v>
      </c>
      <c r="E7" s="750">
        <v>1187.53</v>
      </c>
      <c r="F7" s="752">
        <v>1573.59</v>
      </c>
      <c r="G7" s="748">
        <v>1635.05</v>
      </c>
      <c r="H7" s="746">
        <v>1280.54</v>
      </c>
      <c r="I7" s="742"/>
      <c r="K7" s="256"/>
      <c r="L7" s="257"/>
      <c r="M7" s="257"/>
      <c r="N7" s="257"/>
      <c r="O7" s="257"/>
      <c r="P7" s="257"/>
    </row>
    <row r="8" spans="2:16" ht="21" customHeight="1" thickBot="1" x14ac:dyDescent="0.3">
      <c r="B8" s="571" t="s">
        <v>5</v>
      </c>
      <c r="C8" s="740">
        <v>1562.1959999999999</v>
      </c>
      <c r="D8" s="739">
        <v>1742.549</v>
      </c>
      <c r="E8" s="750">
        <v>1298.76</v>
      </c>
      <c r="F8" s="752">
        <v>1646.07</v>
      </c>
      <c r="G8" s="748">
        <v>1530.75</v>
      </c>
      <c r="H8" s="746">
        <v>1321.99</v>
      </c>
      <c r="I8" s="742"/>
      <c r="K8" s="256"/>
      <c r="L8" s="257"/>
      <c r="M8" s="257"/>
      <c r="N8" s="258"/>
      <c r="O8" s="257"/>
      <c r="P8" s="257"/>
    </row>
    <row r="9" spans="2:16" ht="21" customHeight="1" thickBot="1" x14ac:dyDescent="0.3">
      <c r="B9" s="571" t="s">
        <v>6</v>
      </c>
      <c r="C9" s="739">
        <v>1452.779</v>
      </c>
      <c r="D9" s="739">
        <v>1583.836</v>
      </c>
      <c r="E9" s="750">
        <v>1273.26</v>
      </c>
      <c r="F9" s="752">
        <v>1483.57</v>
      </c>
      <c r="G9" s="748">
        <v>1234.3800000000001</v>
      </c>
      <c r="H9" s="746">
        <v>1136.71</v>
      </c>
      <c r="I9" s="742"/>
      <c r="K9" s="256"/>
      <c r="L9" s="257"/>
      <c r="M9" s="257"/>
      <c r="N9" s="257"/>
      <c r="O9" s="257"/>
      <c r="P9" s="257"/>
    </row>
    <row r="10" spans="2:16" ht="21" customHeight="1" thickBot="1" x14ac:dyDescent="0.3">
      <c r="B10" s="571" t="s">
        <v>7</v>
      </c>
      <c r="C10" s="739">
        <v>1294.0350000000001</v>
      </c>
      <c r="D10" s="739">
        <v>1346.6769999999999</v>
      </c>
      <c r="E10" s="750">
        <v>1336.22</v>
      </c>
      <c r="F10" s="752">
        <v>1329.73</v>
      </c>
      <c r="G10" s="748">
        <v>1079.8900000000001</v>
      </c>
      <c r="H10" s="746">
        <v>834.59</v>
      </c>
      <c r="I10" s="742"/>
      <c r="K10" s="256"/>
      <c r="L10" s="257"/>
      <c r="M10" s="257"/>
      <c r="N10" s="257"/>
      <c r="O10" s="257"/>
      <c r="P10" s="257"/>
    </row>
    <row r="11" spans="2:16" ht="21" customHeight="1" thickBot="1" x14ac:dyDescent="0.3">
      <c r="B11" s="571" t="s">
        <v>8</v>
      </c>
      <c r="C11" s="739">
        <v>1227.848</v>
      </c>
      <c r="D11" s="739">
        <v>1171.5409999999999</v>
      </c>
      <c r="E11" s="750">
        <v>1300.4100000000001</v>
      </c>
      <c r="F11" s="752">
        <v>1186.18</v>
      </c>
      <c r="G11" s="748">
        <v>940.03</v>
      </c>
      <c r="H11" s="746">
        <v>660.7</v>
      </c>
      <c r="I11" s="742"/>
      <c r="K11" s="256"/>
      <c r="L11" s="257"/>
      <c r="M11" s="257"/>
      <c r="N11" s="257"/>
      <c r="O11" s="257"/>
      <c r="P11" s="257"/>
    </row>
    <row r="12" spans="2:16" ht="21" customHeight="1" thickBot="1" x14ac:dyDescent="0.3">
      <c r="B12" s="571" t="s">
        <v>9</v>
      </c>
      <c r="C12" s="739">
        <v>1128.5830000000001</v>
      </c>
      <c r="D12" s="739">
        <v>1014.437</v>
      </c>
      <c r="E12" s="750">
        <v>1196.1300000000001</v>
      </c>
      <c r="F12" s="752">
        <v>1086.54</v>
      </c>
      <c r="G12" s="748">
        <v>806.04</v>
      </c>
      <c r="H12" s="746">
        <v>572.89</v>
      </c>
      <c r="I12" s="742"/>
      <c r="K12" s="256"/>
      <c r="L12" s="257"/>
      <c r="M12" s="257"/>
      <c r="N12" s="257"/>
      <c r="O12" s="257"/>
      <c r="P12" s="257"/>
    </row>
    <row r="13" spans="2:16" ht="21" customHeight="1" thickBot="1" x14ac:dyDescent="0.3">
      <c r="B13" s="571" t="s">
        <v>10</v>
      </c>
      <c r="C13" s="739">
        <v>894.4</v>
      </c>
      <c r="D13" s="739">
        <v>741.67</v>
      </c>
      <c r="E13" s="750">
        <v>1227.3900000000001</v>
      </c>
      <c r="F13" s="752">
        <v>952.17</v>
      </c>
      <c r="G13" s="748">
        <v>687.02</v>
      </c>
      <c r="H13" s="746">
        <v>499.63</v>
      </c>
      <c r="I13" s="742"/>
      <c r="K13" s="256"/>
      <c r="L13" s="257"/>
      <c r="M13" s="257"/>
      <c r="N13" s="257"/>
      <c r="O13" s="257"/>
      <c r="P13" s="257"/>
    </row>
    <row r="14" spans="2:16" ht="21" customHeight="1" thickBot="1" x14ac:dyDescent="0.3">
      <c r="B14" s="571" t="s">
        <v>11</v>
      </c>
      <c r="C14" s="739">
        <v>684.84299999999996</v>
      </c>
      <c r="D14" s="739">
        <v>545.95499999999993</v>
      </c>
      <c r="E14" s="750">
        <v>1339.74</v>
      </c>
      <c r="F14" s="752">
        <v>838.66</v>
      </c>
      <c r="G14" s="748">
        <v>469.1</v>
      </c>
      <c r="H14" s="746">
        <v>442.28</v>
      </c>
      <c r="I14" s="742"/>
      <c r="K14" s="256"/>
      <c r="L14" s="257"/>
      <c r="M14" s="257"/>
      <c r="N14" s="257"/>
      <c r="O14" s="257"/>
      <c r="P14" s="257"/>
    </row>
    <row r="15" spans="2:16" ht="21" customHeight="1" thickBot="1" x14ac:dyDescent="0.3">
      <c r="B15" s="571" t="s">
        <v>12</v>
      </c>
      <c r="C15" s="739">
        <v>616.87599999999998</v>
      </c>
      <c r="D15" s="739">
        <v>411.75</v>
      </c>
      <c r="E15" s="750">
        <v>1429.53</v>
      </c>
      <c r="F15" s="752">
        <v>888.13</v>
      </c>
      <c r="G15" s="748">
        <v>399.15</v>
      </c>
      <c r="H15" s="746">
        <v>296.16000000000003</v>
      </c>
      <c r="I15" s="742"/>
      <c r="K15" s="256"/>
      <c r="L15" s="257"/>
      <c r="M15" s="257"/>
      <c r="N15" s="257"/>
      <c r="O15" s="257"/>
      <c r="P15" s="257"/>
    </row>
    <row r="16" spans="2:16" ht="21" customHeight="1" thickBot="1" x14ac:dyDescent="0.3">
      <c r="B16" s="571" t="s">
        <v>13</v>
      </c>
      <c r="C16" s="739">
        <v>1019.625</v>
      </c>
      <c r="D16" s="739">
        <v>567.84</v>
      </c>
      <c r="E16" s="750">
        <v>1359.37</v>
      </c>
      <c r="F16" s="752">
        <v>1107.76</v>
      </c>
      <c r="G16" s="748">
        <v>474.56</v>
      </c>
      <c r="H16" s="746">
        <v>318.35000000000002</v>
      </c>
      <c r="I16" s="742"/>
      <c r="J16" s="737"/>
      <c r="K16" s="728"/>
      <c r="L16" s="259"/>
      <c r="M16" s="259"/>
      <c r="N16" s="259"/>
      <c r="O16" s="259"/>
      <c r="P16" s="259"/>
    </row>
    <row r="18" spans="5:5" x14ac:dyDescent="0.25">
      <c r="E18" s="253" t="s">
        <v>309</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3"/>
  <sheetViews>
    <sheetView workbookViewId="0">
      <selection activeCell="M13" sqref="M13"/>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1" width="13.7109375" style="269" customWidth="1"/>
    <col min="12" max="16384" width="9.140625" style="269"/>
  </cols>
  <sheetData>
    <row r="2" spans="2:11" ht="18.75" x14ac:dyDescent="0.3">
      <c r="B2" s="268" t="s">
        <v>173</v>
      </c>
      <c r="C2" s="268"/>
      <c r="D2" s="268"/>
      <c r="E2" s="268"/>
      <c r="F2" s="268"/>
      <c r="G2" s="268"/>
    </row>
    <row r="3" spans="2:11" ht="13.5" thickBot="1" x14ac:dyDescent="0.25"/>
    <row r="4" spans="2:11" ht="21" customHeight="1" x14ac:dyDescent="0.3">
      <c r="B4" s="153" t="s">
        <v>1</v>
      </c>
      <c r="C4" s="147" t="s">
        <v>130</v>
      </c>
      <c r="D4" s="147" t="s">
        <v>132</v>
      </c>
      <c r="E4" s="147" t="s">
        <v>152</v>
      </c>
      <c r="F4" s="157" t="s">
        <v>156</v>
      </c>
      <c r="G4" s="157" t="s">
        <v>228</v>
      </c>
      <c r="H4" s="148" t="s">
        <v>297</v>
      </c>
      <c r="I4" s="148" t="s">
        <v>298</v>
      </c>
      <c r="J4" s="148" t="s">
        <v>300</v>
      </c>
      <c r="K4" s="761" t="s">
        <v>305</v>
      </c>
    </row>
    <row r="5" spans="2:11"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759"/>
    </row>
    <row r="6" spans="2:11"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759"/>
    </row>
    <row r="7" spans="2:11"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759"/>
    </row>
    <row r="8" spans="2:11"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759"/>
    </row>
    <row r="9" spans="2:11" ht="18.95" customHeight="1" x14ac:dyDescent="0.25">
      <c r="B9" s="74" t="s">
        <v>6</v>
      </c>
      <c r="C9" s="75">
        <v>28.02</v>
      </c>
      <c r="D9" s="75">
        <v>27.655000000000001</v>
      </c>
      <c r="E9" s="75">
        <v>25.003</v>
      </c>
      <c r="F9" s="76">
        <v>29.332999999999998</v>
      </c>
      <c r="G9" s="76">
        <v>35.505000000000003</v>
      </c>
      <c r="H9" s="149">
        <v>16.221</v>
      </c>
      <c r="I9" s="149">
        <v>18.97</v>
      </c>
      <c r="J9" s="149">
        <v>11.813000000000001</v>
      </c>
      <c r="K9" s="759"/>
    </row>
    <row r="10" spans="2:11"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759"/>
    </row>
    <row r="11" spans="2:11"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759"/>
    </row>
    <row r="12" spans="2:11"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759"/>
    </row>
    <row r="13" spans="2:11"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759"/>
    </row>
    <row r="14" spans="2:11"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759"/>
    </row>
    <row r="15" spans="2:11"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759"/>
    </row>
    <row r="16" spans="2:11"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760"/>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K5" sqref="K5"/>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1" width="13.7109375" style="269" customWidth="1"/>
    <col min="12" max="16384" width="9.140625" style="269"/>
  </cols>
  <sheetData>
    <row r="3" spans="2:11" ht="18.75" x14ac:dyDescent="0.3">
      <c r="B3" s="812" t="s">
        <v>174</v>
      </c>
      <c r="C3" s="812"/>
      <c r="D3" s="812"/>
      <c r="E3" s="812"/>
      <c r="F3" s="812"/>
      <c r="G3" s="812"/>
      <c r="H3" s="812"/>
      <c r="I3" s="812"/>
      <c r="J3" s="812"/>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300</v>
      </c>
      <c r="K5" s="761" t="s">
        <v>305</v>
      </c>
    </row>
    <row r="6" spans="2:11" ht="18.95" customHeight="1" x14ac:dyDescent="0.25">
      <c r="B6" s="74" t="s">
        <v>2</v>
      </c>
      <c r="C6" s="75">
        <v>16.97</v>
      </c>
      <c r="D6" s="75">
        <v>19.86</v>
      </c>
      <c r="E6" s="75">
        <v>11.94</v>
      </c>
      <c r="F6" s="76">
        <v>21.72</v>
      </c>
      <c r="G6" s="76">
        <v>16.93</v>
      </c>
      <c r="H6" s="149">
        <v>15.92</v>
      </c>
      <c r="I6" s="149">
        <v>13.72</v>
      </c>
      <c r="J6" s="149">
        <v>14.84</v>
      </c>
      <c r="K6" s="759"/>
    </row>
    <row r="7" spans="2:11" ht="18.95" customHeight="1" x14ac:dyDescent="0.25">
      <c r="B7" s="74" t="s">
        <v>3</v>
      </c>
      <c r="C7" s="75">
        <v>19.399999999999999</v>
      </c>
      <c r="D7" s="75">
        <v>13.22</v>
      </c>
      <c r="E7" s="75">
        <v>13.22</v>
      </c>
      <c r="F7" s="76">
        <v>15.3</v>
      </c>
      <c r="G7" s="76">
        <v>16.809999999999999</v>
      </c>
      <c r="H7" s="149">
        <v>15.927</v>
      </c>
      <c r="I7" s="149">
        <v>9.89</v>
      </c>
      <c r="J7" s="149">
        <v>14.84</v>
      </c>
      <c r="K7" s="759"/>
    </row>
    <row r="8" spans="2:11" ht="18.95" customHeight="1" x14ac:dyDescent="0.25">
      <c r="B8" s="74" t="s">
        <v>4</v>
      </c>
      <c r="C8" s="75">
        <v>13.01</v>
      </c>
      <c r="D8" s="75">
        <v>12.61</v>
      </c>
      <c r="E8" s="75">
        <v>19.7</v>
      </c>
      <c r="F8" s="76">
        <v>20.84</v>
      </c>
      <c r="G8" s="76">
        <v>27.52</v>
      </c>
      <c r="H8" s="149">
        <v>15.92</v>
      </c>
      <c r="I8" s="149">
        <v>12.08</v>
      </c>
      <c r="J8" s="149">
        <v>14.52</v>
      </c>
      <c r="K8" s="759"/>
    </row>
    <row r="9" spans="2:11" ht="18.95" customHeight="1" x14ac:dyDescent="0.25">
      <c r="B9" s="74" t="s">
        <v>5</v>
      </c>
      <c r="C9" s="75">
        <v>17.420000000000002</v>
      </c>
      <c r="D9" s="75">
        <v>11.44</v>
      </c>
      <c r="E9" s="75">
        <v>23.64</v>
      </c>
      <c r="F9" s="76">
        <v>16.420000000000002</v>
      </c>
      <c r="G9" s="76">
        <v>15.98</v>
      </c>
      <c r="H9" s="149">
        <v>9.67</v>
      </c>
      <c r="I9" s="149">
        <v>11.75</v>
      </c>
      <c r="J9" s="149">
        <v>10.99</v>
      </c>
      <c r="K9" s="759"/>
    </row>
    <row r="10" spans="2:11" ht="18.95" customHeight="1" x14ac:dyDescent="0.25">
      <c r="B10" s="74" t="s">
        <v>6</v>
      </c>
      <c r="C10" s="75">
        <v>18.600000000000001</v>
      </c>
      <c r="D10" s="75">
        <v>22.67</v>
      </c>
      <c r="E10" s="75">
        <v>27.92</v>
      </c>
      <c r="F10" s="76">
        <v>20.84</v>
      </c>
      <c r="G10" s="76">
        <v>16.489999999999998</v>
      </c>
      <c r="H10" s="149">
        <v>17.48</v>
      </c>
      <c r="I10" s="149">
        <v>11.75</v>
      </c>
      <c r="J10" s="149">
        <v>11.26</v>
      </c>
      <c r="K10" s="759"/>
    </row>
    <row r="11" spans="2:11" ht="18.95" customHeight="1" x14ac:dyDescent="0.25">
      <c r="B11" s="74" t="s">
        <v>7</v>
      </c>
      <c r="C11" s="75">
        <v>13.09</v>
      </c>
      <c r="D11" s="75">
        <v>15.58</v>
      </c>
      <c r="E11" s="75">
        <v>20.83</v>
      </c>
      <c r="F11" s="76">
        <v>27.26</v>
      </c>
      <c r="G11" s="76">
        <v>19.579999999999998</v>
      </c>
      <c r="H11" s="149">
        <v>9.51</v>
      </c>
      <c r="I11" s="149">
        <v>17.86</v>
      </c>
      <c r="J11" s="149">
        <v>6.61</v>
      </c>
      <c r="K11" s="759"/>
    </row>
    <row r="12" spans="2:11" ht="18.95" customHeight="1" x14ac:dyDescent="0.25">
      <c r="B12" s="74" t="s">
        <v>8</v>
      </c>
      <c r="C12" s="75">
        <v>27.16</v>
      </c>
      <c r="D12" s="75">
        <v>23.06</v>
      </c>
      <c r="E12" s="75">
        <v>21.51</v>
      </c>
      <c r="F12" s="76">
        <v>24.16</v>
      </c>
      <c r="G12" s="76">
        <v>19.579999999999998</v>
      </c>
      <c r="H12" s="149">
        <v>22.34</v>
      </c>
      <c r="I12" s="149">
        <v>17.86</v>
      </c>
      <c r="J12" s="149">
        <v>6.8559999999999999</v>
      </c>
      <c r="K12" s="759"/>
    </row>
    <row r="13" spans="2:11" ht="18.95" customHeight="1" x14ac:dyDescent="0.25">
      <c r="B13" s="74" t="s">
        <v>9</v>
      </c>
      <c r="C13" s="75">
        <v>21.03</v>
      </c>
      <c r="D13" s="75">
        <v>21.6</v>
      </c>
      <c r="E13" s="75">
        <v>13.67</v>
      </c>
      <c r="F13" s="76">
        <v>24.16</v>
      </c>
      <c r="G13" s="76">
        <v>19.579999999999998</v>
      </c>
      <c r="H13" s="149">
        <v>19.8</v>
      </c>
      <c r="I13" s="149">
        <v>15.58</v>
      </c>
      <c r="J13" s="149">
        <v>7.3120000000000003</v>
      </c>
      <c r="K13" s="759"/>
    </row>
    <row r="14" spans="2:11" ht="18.95" customHeight="1" x14ac:dyDescent="0.25">
      <c r="B14" s="74" t="s">
        <v>10</v>
      </c>
      <c r="C14" s="75">
        <v>19.66</v>
      </c>
      <c r="D14" s="75">
        <v>16.739999999999998</v>
      </c>
      <c r="E14" s="75">
        <v>9.57</v>
      </c>
      <c r="F14" s="76">
        <v>12.23</v>
      </c>
      <c r="G14" s="76">
        <v>17.75</v>
      </c>
      <c r="H14" s="149">
        <v>20.25</v>
      </c>
      <c r="I14" s="149">
        <v>13.43</v>
      </c>
      <c r="J14" s="149">
        <v>9.61</v>
      </c>
      <c r="K14" s="759"/>
    </row>
    <row r="15" spans="2:11" ht="18.95" customHeight="1" x14ac:dyDescent="0.25">
      <c r="B15" s="74" t="s">
        <v>11</v>
      </c>
      <c r="C15" s="75">
        <v>16.36</v>
      </c>
      <c r="D15" s="75">
        <v>17.63</v>
      </c>
      <c r="E15" s="75">
        <v>13.15</v>
      </c>
      <c r="F15" s="76">
        <v>14.05</v>
      </c>
      <c r="G15" s="76">
        <v>15.92</v>
      </c>
      <c r="H15" s="149">
        <v>14.6</v>
      </c>
      <c r="I15" s="149">
        <v>12.3</v>
      </c>
      <c r="J15" s="149">
        <v>6.78</v>
      </c>
      <c r="K15" s="759"/>
    </row>
    <row r="16" spans="2:11" ht="18.95" customHeight="1" x14ac:dyDescent="0.25">
      <c r="B16" s="74" t="s">
        <v>12</v>
      </c>
      <c r="C16" s="75">
        <v>19.91</v>
      </c>
      <c r="D16" s="75">
        <v>12.47</v>
      </c>
      <c r="E16" s="75">
        <v>22.49</v>
      </c>
      <c r="F16" s="76">
        <v>16.36</v>
      </c>
      <c r="G16" s="76">
        <v>15.07</v>
      </c>
      <c r="H16" s="149">
        <v>12.79</v>
      </c>
      <c r="I16" s="149">
        <v>12.3</v>
      </c>
      <c r="J16" s="149">
        <v>6.39</v>
      </c>
      <c r="K16" s="759"/>
    </row>
    <row r="17" spans="2:11"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760"/>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H43" sqref="H43"/>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14" t="s">
        <v>16</v>
      </c>
      <c r="B3" s="814"/>
      <c r="C3" s="814"/>
      <c r="D3" s="814"/>
      <c r="E3" s="814"/>
      <c r="F3" s="814"/>
      <c r="G3" s="814"/>
      <c r="H3" s="814"/>
      <c r="I3" s="814"/>
    </row>
    <row r="4" spans="1:14" ht="21" x14ac:dyDescent="0.2">
      <c r="A4" s="814" t="s">
        <v>17</v>
      </c>
      <c r="B4" s="814"/>
      <c r="C4" s="814"/>
      <c r="D4" s="814"/>
      <c r="E4" s="814"/>
      <c r="F4" s="814"/>
      <c r="G4" s="814"/>
      <c r="H4" s="814"/>
      <c r="I4" s="814"/>
    </row>
    <row r="5" spans="1:14" ht="21" x14ac:dyDescent="0.35">
      <c r="A5" s="815" t="str">
        <f>+UTAMA!B4</f>
        <v xml:space="preserve">MINGGU KE  III FEBRUARI  ( 10 FEBRUARI S/D 17 FEBRUARI 2020) dalam Juta m3  </v>
      </c>
      <c r="B5" s="815"/>
      <c r="C5" s="815"/>
      <c r="D5" s="815"/>
      <c r="E5" s="815"/>
      <c r="F5" s="815"/>
      <c r="G5" s="815"/>
      <c r="H5" s="815"/>
      <c r="I5" s="815"/>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338.7</v>
      </c>
      <c r="F11" s="90">
        <f>+UTAMA!H12</f>
        <v>7.0949999999999998</v>
      </c>
      <c r="G11" s="87">
        <f>+UTAMA!I12</f>
        <v>335.1</v>
      </c>
      <c r="H11" s="90">
        <f>+UTAMA!J12</f>
        <v>4.0119999999999996</v>
      </c>
      <c r="I11" s="91">
        <v>35162</v>
      </c>
      <c r="K11" s="128"/>
      <c r="L11" s="128"/>
      <c r="M11" s="128"/>
      <c r="N11" s="92"/>
    </row>
    <row r="12" spans="1:14" ht="15.75" x14ac:dyDescent="0.25">
      <c r="A12" s="129">
        <f>+A11+1</f>
        <v>2</v>
      </c>
      <c r="B12" s="130" t="s">
        <v>29</v>
      </c>
      <c r="C12" s="93">
        <f>+UTAMA!E13</f>
        <v>77.5</v>
      </c>
      <c r="D12" s="94">
        <f>+UTAMA!F13</f>
        <v>49.02</v>
      </c>
      <c r="E12" s="95">
        <f>+UTAMA!G13</f>
        <v>74.11</v>
      </c>
      <c r="F12" s="94">
        <f>+UTAMA!H13</f>
        <v>29.641932000000001</v>
      </c>
      <c r="G12" s="93">
        <f>+UTAMA!I13</f>
        <v>77.78</v>
      </c>
      <c r="H12" s="94">
        <f>+UTAMA!J13</f>
        <v>50.873069999999998</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55.73</v>
      </c>
      <c r="F13" s="94">
        <f>+UTAMA!H11</f>
        <v>30.887119999999999</v>
      </c>
      <c r="G13" s="93">
        <f>+UTAMA!I11</f>
        <v>55.08</v>
      </c>
      <c r="H13" s="94">
        <f>+UTAMA!J11</f>
        <v>27.218520000000002</v>
      </c>
      <c r="I13" s="96">
        <v>17481</v>
      </c>
      <c r="K13" s="128"/>
      <c r="L13" s="128"/>
      <c r="M13" s="128"/>
      <c r="N13" s="92"/>
    </row>
    <row r="14" spans="1:14" ht="15.75" x14ac:dyDescent="0.25">
      <c r="A14" s="129">
        <f t="shared" si="0"/>
        <v>4</v>
      </c>
      <c r="B14" s="130" t="s">
        <v>31</v>
      </c>
      <c r="C14" s="93">
        <f>+UTAMA!E14</f>
        <v>463.3</v>
      </c>
      <c r="D14" s="94">
        <f>+UTAMA!F14</f>
        <v>49.9</v>
      </c>
      <c r="E14" s="97">
        <f>+UTAMA!H14</f>
        <v>37.220999999999997</v>
      </c>
      <c r="F14" s="94">
        <f>+UTAMA!H14</f>
        <v>37.220999999999997</v>
      </c>
      <c r="G14" s="93">
        <f>+UTAMA!I14</f>
        <v>462.16</v>
      </c>
      <c r="H14" s="94">
        <f>+UTAMA!J14</f>
        <v>31.63</v>
      </c>
      <c r="I14" s="96">
        <v>19972</v>
      </c>
      <c r="K14" s="128"/>
      <c r="L14" s="128"/>
      <c r="M14" s="128"/>
      <c r="N14" s="92"/>
    </row>
    <row r="15" spans="1:14" ht="15.75" x14ac:dyDescent="0.25">
      <c r="A15" s="129">
        <f t="shared" si="0"/>
        <v>5</v>
      </c>
      <c r="B15" s="130" t="s">
        <v>32</v>
      </c>
      <c r="C15" s="93">
        <f>+UTAMA!E15</f>
        <v>207</v>
      </c>
      <c r="D15" s="94">
        <f>+UTAMA!F15</f>
        <v>9.5030000000000001</v>
      </c>
      <c r="E15" s="97">
        <f>+UTAMA!H15</f>
        <v>6.4459999999999997</v>
      </c>
      <c r="F15" s="94">
        <f>+UTAMA!H15</f>
        <v>6.4459999999999997</v>
      </c>
      <c r="G15" s="93">
        <f>+UTAMA!I15</f>
        <v>203.07</v>
      </c>
      <c r="H15" s="94">
        <f>+UTAMA!J15</f>
        <v>5.4569999999999999</v>
      </c>
      <c r="I15" s="96">
        <v>4959</v>
      </c>
      <c r="K15" s="128"/>
      <c r="L15" s="128"/>
      <c r="M15" s="128"/>
      <c r="N15" s="92"/>
    </row>
    <row r="16" spans="1:14" ht="15.75" x14ac:dyDescent="0.25">
      <c r="A16" s="129">
        <f t="shared" si="0"/>
        <v>6</v>
      </c>
      <c r="B16" s="130" t="s">
        <v>33</v>
      </c>
      <c r="C16" s="93">
        <f>+UTAMA!E16</f>
        <v>320</v>
      </c>
      <c r="D16" s="94">
        <f>+UTAMA!F16</f>
        <v>5.1509999999999998</v>
      </c>
      <c r="E16" s="97">
        <f>+UTAMA!H16</f>
        <v>3.12</v>
      </c>
      <c r="F16" s="94">
        <f>+UTAMA!H16</f>
        <v>3.12</v>
      </c>
      <c r="G16" s="93">
        <f>+UTAMA!I16</f>
        <v>314</v>
      </c>
      <c r="H16" s="94">
        <f>+UTAMA!J16</f>
        <v>2.5459999999999998</v>
      </c>
      <c r="I16" s="96">
        <v>6052</v>
      </c>
      <c r="K16" s="128"/>
      <c r="L16" s="128"/>
      <c r="M16" s="128"/>
      <c r="N16" s="92"/>
    </row>
    <row r="17" spans="1:14" ht="15.75" x14ac:dyDescent="0.25">
      <c r="A17" s="129">
        <f t="shared" si="0"/>
        <v>7</v>
      </c>
      <c r="B17" s="130" t="s">
        <v>34</v>
      </c>
      <c r="C17" s="93">
        <f>+UTAMA!E17</f>
        <v>90</v>
      </c>
      <c r="D17" s="94">
        <f>+UTAMA!F17</f>
        <v>689.09100000000001</v>
      </c>
      <c r="E17" s="97">
        <f>+UTAMA!G17</f>
        <v>83.91</v>
      </c>
      <c r="F17" s="94">
        <f>+UTAMA!H17</f>
        <v>418.86200000000002</v>
      </c>
      <c r="G17" s="93">
        <f>+UTAMA!I17</f>
        <v>77.09</v>
      </c>
      <c r="H17" s="94">
        <f>+UTAMA!J17</f>
        <v>210.3578080498005</v>
      </c>
      <c r="I17" s="98">
        <v>59645</v>
      </c>
      <c r="K17" s="128"/>
      <c r="L17" s="128"/>
      <c r="M17" s="128"/>
      <c r="N17" s="99"/>
    </row>
    <row r="18" spans="1:14" ht="15.75" x14ac:dyDescent="0.25">
      <c r="A18" s="129">
        <f t="shared" si="0"/>
        <v>8</v>
      </c>
      <c r="B18" s="130" t="s">
        <v>35</v>
      </c>
      <c r="C18" s="93">
        <f>+UTAMA!E18</f>
        <v>120.5</v>
      </c>
      <c r="D18" s="94">
        <f>+UTAMA!F18</f>
        <v>2.0920000000000001</v>
      </c>
      <c r="E18" s="97">
        <f>+UTAMA!G18</f>
        <v>114.77</v>
      </c>
      <c r="F18" s="94">
        <f>+UTAMA!H18</f>
        <v>0.81100000000000005</v>
      </c>
      <c r="G18" s="93">
        <f>+UTAMA!I18</f>
        <v>115.93</v>
      </c>
      <c r="H18" s="94">
        <f>+UTAMA!J18</f>
        <v>0.504</v>
      </c>
      <c r="I18" s="100">
        <v>923</v>
      </c>
      <c r="K18" s="128"/>
      <c r="L18" s="128"/>
      <c r="M18" s="131"/>
      <c r="N18" s="99"/>
    </row>
    <row r="19" spans="1:14" ht="15.75" x14ac:dyDescent="0.25">
      <c r="A19" s="129">
        <f t="shared" si="0"/>
        <v>9</v>
      </c>
      <c r="B19" s="130" t="s">
        <v>36</v>
      </c>
      <c r="C19" s="93">
        <f>+UTAMA!E19</f>
        <v>120.8</v>
      </c>
      <c r="D19" s="94">
        <f>+UTAMA!F19</f>
        <v>2.3530000000000002</v>
      </c>
      <c r="E19" s="97">
        <f>+UTAMA!G19</f>
        <v>116.54</v>
      </c>
      <c r="F19" s="94">
        <f>+UTAMA!H19</f>
        <v>0.66100000000000003</v>
      </c>
      <c r="G19" s="93">
        <f>+UTAMA!I19</f>
        <v>115.86</v>
      </c>
      <c r="H19" s="94">
        <f>+UTAMA!J19</f>
        <v>0.23</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1.8520000000000001</v>
      </c>
      <c r="G20" s="93">
        <f>+UTAMA!I20</f>
        <v>40.64</v>
      </c>
      <c r="H20" s="94">
        <f>+UTAMA!J20</f>
        <v>0.72799999999999998</v>
      </c>
      <c r="I20" s="102">
        <v>440</v>
      </c>
      <c r="K20" s="128"/>
      <c r="L20" s="128"/>
      <c r="M20" s="131"/>
      <c r="N20" s="99"/>
    </row>
    <row r="21" spans="1:14" ht="15.75" x14ac:dyDescent="0.25">
      <c r="A21" s="129">
        <f t="shared" si="0"/>
        <v>11</v>
      </c>
      <c r="B21" s="130" t="s">
        <v>39</v>
      </c>
      <c r="C21" s="93">
        <f>+UTAMA!E21</f>
        <v>51.5</v>
      </c>
      <c r="D21" s="94">
        <f>+UTAMA!F21</f>
        <v>2.4159999999999999</v>
      </c>
      <c r="E21" s="97">
        <f>+UTAMA!G21</f>
        <v>48.72</v>
      </c>
      <c r="F21" s="94">
        <f>+UTAMA!H21</f>
        <v>1.472</v>
      </c>
      <c r="G21" s="93">
        <f>+UTAMA!I21</f>
        <v>45.31</v>
      </c>
      <c r="H21" s="94">
        <f>+UTAMA!J21</f>
        <v>0.55700000000000005</v>
      </c>
      <c r="I21" s="102">
        <v>775</v>
      </c>
      <c r="K21" s="128"/>
      <c r="L21" s="128"/>
      <c r="M21" s="131"/>
      <c r="N21" s="99"/>
    </row>
    <row r="22" spans="1:14" ht="15.75" x14ac:dyDescent="0.25">
      <c r="A22" s="129">
        <f t="shared" si="0"/>
        <v>12</v>
      </c>
      <c r="B22" s="130" t="s">
        <v>40</v>
      </c>
      <c r="C22" s="93">
        <f>+UTAMA!E22</f>
        <v>81</v>
      </c>
      <c r="D22" s="94">
        <f>+UTAMA!F22</f>
        <v>1.093</v>
      </c>
      <c r="E22" s="97">
        <f>+UTAMA!G22</f>
        <v>79.569999999999993</v>
      </c>
      <c r="F22" s="94">
        <f>+UTAMA!H22</f>
        <v>0.86699999999999999</v>
      </c>
      <c r="G22" s="93">
        <f>+UTAMA!I22</f>
        <v>74.42</v>
      </c>
      <c r="H22" s="94">
        <f>+UTAMA!J22</f>
        <v>0.249</v>
      </c>
      <c r="I22" s="98">
        <v>750</v>
      </c>
      <c r="K22" s="128"/>
      <c r="L22" s="128"/>
      <c r="M22" s="131"/>
      <c r="N22" s="99"/>
    </row>
    <row r="23" spans="1:14" ht="15.75" x14ac:dyDescent="0.25">
      <c r="A23" s="129">
        <f t="shared" si="0"/>
        <v>13</v>
      </c>
      <c r="B23" s="130" t="s">
        <v>41</v>
      </c>
      <c r="C23" s="93">
        <f>+UTAMA!E23</f>
        <v>82.8</v>
      </c>
      <c r="D23" s="94">
        <f>+UTAMA!F23</f>
        <v>0.42899999999999999</v>
      </c>
      <c r="E23" s="101">
        <f>+UTAMA!G23</f>
        <v>82.68</v>
      </c>
      <c r="F23" s="94">
        <f>+UTAMA!H23</f>
        <v>0.40899999999999997</v>
      </c>
      <c r="G23" s="93">
        <f>+UTAMA!I23</f>
        <v>81.319999999999993</v>
      </c>
      <c r="H23" s="94">
        <f>+UTAMA!J23</f>
        <v>0.22</v>
      </c>
      <c r="I23" s="98">
        <v>482</v>
      </c>
      <c r="K23" s="128"/>
      <c r="L23" s="128"/>
      <c r="M23" s="128"/>
      <c r="N23" s="99"/>
    </row>
    <row r="24" spans="1:14" ht="15.75" x14ac:dyDescent="0.25">
      <c r="A24" s="129">
        <f t="shared" si="0"/>
        <v>14</v>
      </c>
      <c r="B24" s="130" t="s">
        <v>42</v>
      </c>
      <c r="C24" s="93">
        <f>+UTAMA!E24</f>
        <v>69.95</v>
      </c>
      <c r="D24" s="94">
        <f>+UTAMA!F24</f>
        <v>0.25</v>
      </c>
      <c r="E24" s="101">
        <f>+UTAMA!G24</f>
        <v>69.23</v>
      </c>
      <c r="F24" s="94">
        <f>+UTAMA!H24</f>
        <v>0.15</v>
      </c>
      <c r="G24" s="93">
        <f>+UTAMA!I24</f>
        <v>69.510000000000005</v>
      </c>
      <c r="H24" s="94">
        <f>+UTAMA!J24</f>
        <v>0.124</v>
      </c>
      <c r="I24" s="98">
        <v>366</v>
      </c>
      <c r="K24" s="128"/>
      <c r="L24" s="128"/>
      <c r="M24" s="128"/>
      <c r="N24" s="103"/>
    </row>
    <row r="25" spans="1:14" ht="15.75" x14ac:dyDescent="0.25">
      <c r="A25" s="129">
        <f t="shared" si="0"/>
        <v>15</v>
      </c>
      <c r="B25" s="130" t="s">
        <v>43</v>
      </c>
      <c r="C25" s="93">
        <f>+UTAMA!E25</f>
        <v>48.2</v>
      </c>
      <c r="D25" s="94">
        <f>+UTAMA!F25</f>
        <v>0.38500000000000001</v>
      </c>
      <c r="E25" s="97">
        <f>+UTAMA!G25</f>
        <v>45.77</v>
      </c>
      <c r="F25" s="94">
        <f>+UTAMA!H25</f>
        <v>8.4000000000000005E-2</v>
      </c>
      <c r="G25" s="93">
        <f>+UTAMA!I25</f>
        <v>46.56</v>
      </c>
      <c r="H25" s="94">
        <f>+UTAMA!J25</f>
        <v>0.33</v>
      </c>
      <c r="I25" s="102">
        <v>260</v>
      </c>
      <c r="K25" s="128"/>
      <c r="L25" s="128"/>
      <c r="M25" s="128"/>
      <c r="N25" s="99"/>
    </row>
    <row r="26" spans="1:14" ht="15.75" x14ac:dyDescent="0.25">
      <c r="A26" s="129">
        <f t="shared" si="0"/>
        <v>16</v>
      </c>
      <c r="B26" s="130" t="s">
        <v>44</v>
      </c>
      <c r="C26" s="93">
        <f>+UTAMA!E26</f>
        <v>136</v>
      </c>
      <c r="D26" s="94">
        <f>+UTAMA!F26</f>
        <v>440</v>
      </c>
      <c r="E26" s="97">
        <f>+UTAMA!G26</f>
        <v>132.68</v>
      </c>
      <c r="F26" s="94">
        <f>+UTAMA!H26</f>
        <v>205.321</v>
      </c>
      <c r="G26" s="93">
        <f>+UTAMA!I26</f>
        <v>129.72999999999999</v>
      </c>
      <c r="H26" s="94">
        <f>+UTAMA!J26</f>
        <v>107.88200000000001</v>
      </c>
      <c r="I26" s="98">
        <v>28109</v>
      </c>
      <c r="K26" s="128"/>
      <c r="L26" s="128"/>
      <c r="M26" s="128"/>
      <c r="N26" s="104"/>
    </row>
    <row r="27" spans="1:14" ht="15.75" x14ac:dyDescent="0.25">
      <c r="A27" s="129">
        <f t="shared" si="0"/>
        <v>17</v>
      </c>
      <c r="B27" s="130" t="s">
        <v>45</v>
      </c>
      <c r="C27" s="93">
        <f>+UTAMA!E27</f>
        <v>113.5</v>
      </c>
      <c r="D27" s="94">
        <f>+UTAMA!F27</f>
        <v>3.7519999999999998</v>
      </c>
      <c r="E27" s="97">
        <f>+UTAMA!G27</f>
        <v>109.52</v>
      </c>
      <c r="F27" s="94">
        <f>+UTAMA!H27</f>
        <v>0.27100000000000002</v>
      </c>
      <c r="G27" s="93">
        <f>+UTAMA!I27</f>
        <v>110.81</v>
      </c>
      <c r="H27" s="94">
        <f>+UTAMA!J27</f>
        <v>0.33800000000000002</v>
      </c>
      <c r="I27" s="98">
        <v>874</v>
      </c>
      <c r="K27" s="128"/>
      <c r="L27" s="128"/>
      <c r="M27" s="128"/>
      <c r="N27" s="104"/>
    </row>
    <row r="28" spans="1:14" ht="15.75" x14ac:dyDescent="0.25">
      <c r="A28" s="129">
        <f t="shared" si="0"/>
        <v>18</v>
      </c>
      <c r="B28" s="130" t="s">
        <v>46</v>
      </c>
      <c r="C28" s="93">
        <f>+UTAMA!E28</f>
        <v>225.4</v>
      </c>
      <c r="D28" s="94">
        <f>+UTAMA!F28</f>
        <v>1.2</v>
      </c>
      <c r="E28" s="97">
        <f>+UTAMA!G28</f>
        <v>202.5</v>
      </c>
      <c r="F28" s="94">
        <f>+UTAMA!H28</f>
        <v>0.20599999999999999</v>
      </c>
      <c r="G28" s="93">
        <f>+UTAMA!I28</f>
        <v>200.4</v>
      </c>
      <c r="H28" s="94">
        <f>+UTAMA!J28</f>
        <v>0.06</v>
      </c>
      <c r="I28" s="102">
        <v>392</v>
      </c>
      <c r="K28" s="128"/>
      <c r="L28" s="128"/>
      <c r="M28" s="128"/>
      <c r="N28" s="99"/>
    </row>
    <row r="29" spans="1:14" ht="15.75" x14ac:dyDescent="0.25">
      <c r="A29" s="129">
        <f t="shared" si="0"/>
        <v>19</v>
      </c>
      <c r="B29" s="130" t="s">
        <v>47</v>
      </c>
      <c r="C29" s="93">
        <f>+UTAMA!E29</f>
        <v>224</v>
      </c>
      <c r="D29" s="94">
        <f>+UTAMA!F29</f>
        <v>0.6</v>
      </c>
      <c r="E29" s="97">
        <f>+UTAMA!G29</f>
        <v>222.5</v>
      </c>
      <c r="F29" s="94">
        <f>+UTAMA!H29</f>
        <v>0.46200000000000002</v>
      </c>
      <c r="G29" s="93">
        <f>+UTAMA!I29</f>
        <v>220.05</v>
      </c>
      <c r="H29" s="94">
        <f>+UTAMA!J29</f>
        <v>0.28799999999999998</v>
      </c>
      <c r="I29" s="102">
        <v>500</v>
      </c>
      <c r="K29" s="128"/>
      <c r="L29" s="128"/>
      <c r="M29" s="128"/>
      <c r="N29" s="99"/>
    </row>
    <row r="30" spans="1:14" ht="15.75" x14ac:dyDescent="0.25">
      <c r="A30" s="129">
        <f t="shared" si="0"/>
        <v>20</v>
      </c>
      <c r="B30" s="130" t="s">
        <v>48</v>
      </c>
      <c r="C30" s="93">
        <f>+UTAMA!E30</f>
        <v>196</v>
      </c>
      <c r="D30" s="94">
        <f>+UTAMA!F30</f>
        <v>1.5820000000000001</v>
      </c>
      <c r="E30" s="97">
        <f>+UTAMA!G30</f>
        <v>193.5</v>
      </c>
      <c r="F30" s="94">
        <f>+UTAMA!H30</f>
        <v>0.19600000000000001</v>
      </c>
      <c r="G30" s="93">
        <f>+UTAMA!I30</f>
        <v>196.02</v>
      </c>
      <c r="H30" s="94">
        <f>+UTAMA!J30</f>
        <v>0.45600000000000002</v>
      </c>
      <c r="I30" s="102">
        <v>700</v>
      </c>
      <c r="K30" s="128"/>
      <c r="L30" s="128"/>
      <c r="M30" s="128"/>
      <c r="N30" s="99"/>
    </row>
    <row r="31" spans="1:14" ht="15.75" x14ac:dyDescent="0.25">
      <c r="A31" s="129">
        <f t="shared" si="0"/>
        <v>21</v>
      </c>
      <c r="B31" s="130" t="s">
        <v>49</v>
      </c>
      <c r="C31" s="93">
        <f>+UTAMA!E31</f>
        <v>174</v>
      </c>
      <c r="D31" s="94">
        <f>+UTAMA!F31</f>
        <v>0.47899999999999998</v>
      </c>
      <c r="E31" s="101">
        <f>+UTAMA!G31</f>
        <v>170</v>
      </c>
      <c r="F31" s="94">
        <f>+UTAMA!H31</f>
        <v>0.125</v>
      </c>
      <c r="G31" s="93">
        <f>+UTAMA!I31</f>
        <v>169.28</v>
      </c>
      <c r="H31" s="94">
        <f>+UTAMA!J31</f>
        <v>8.8999999999999996E-2</v>
      </c>
      <c r="I31" s="102">
        <v>87</v>
      </c>
      <c r="K31" s="128"/>
      <c r="L31" s="128"/>
      <c r="M31" s="128"/>
      <c r="N31" s="104"/>
    </row>
    <row r="32" spans="1:14" ht="15.75" x14ac:dyDescent="0.25">
      <c r="A32" s="129">
        <f t="shared" si="0"/>
        <v>22</v>
      </c>
      <c r="B32" s="130" t="s">
        <v>50</v>
      </c>
      <c r="C32" s="93">
        <f>+UTAMA!E32</f>
        <v>229.1</v>
      </c>
      <c r="D32" s="94">
        <f>+UTAMA!F32</f>
        <v>0.79200000000000004</v>
      </c>
      <c r="E32" s="97">
        <f>+UTAMA!G32</f>
        <v>226.5</v>
      </c>
      <c r="F32" s="94">
        <f>+UTAMA!H32</f>
        <v>0.57399999999999995</v>
      </c>
      <c r="G32" s="93">
        <f>+UTAMA!I32</f>
        <v>218.67</v>
      </c>
      <c r="H32" s="94">
        <f>+UTAMA!J32</f>
        <v>6.2E-2</v>
      </c>
      <c r="I32" s="100">
        <v>354</v>
      </c>
      <c r="K32" s="128"/>
      <c r="L32" s="128"/>
      <c r="M32" s="128"/>
      <c r="N32" s="99"/>
    </row>
    <row r="33" spans="1:14" ht="15.75" x14ac:dyDescent="0.25">
      <c r="A33" s="129">
        <f t="shared" si="0"/>
        <v>23</v>
      </c>
      <c r="B33" s="130" t="s">
        <v>51</v>
      </c>
      <c r="C33" s="93">
        <f>+UTAMA!E33</f>
        <v>249</v>
      </c>
      <c r="D33" s="94">
        <f>+UTAMA!F33</f>
        <v>2.1240000000000001</v>
      </c>
      <c r="E33" s="97">
        <f>+UTAMA!G33</f>
        <v>241.63</v>
      </c>
      <c r="F33" s="94">
        <f>+UTAMA!H33</f>
        <v>0.41599999999999998</v>
      </c>
      <c r="G33" s="93">
        <f>+UTAMA!I33</f>
        <v>241.6</v>
      </c>
      <c r="H33" s="94">
        <f>+UTAMA!J33</f>
        <v>0.41199999999999998</v>
      </c>
      <c r="I33" s="102">
        <v>637</v>
      </c>
      <c r="K33" s="128"/>
      <c r="L33" s="128"/>
      <c r="M33" s="128"/>
      <c r="N33" s="99"/>
    </row>
    <row r="34" spans="1:14" ht="15.75" x14ac:dyDescent="0.25">
      <c r="A34" s="129">
        <f t="shared" si="0"/>
        <v>24</v>
      </c>
      <c r="B34" s="130" t="s">
        <v>52</v>
      </c>
      <c r="C34" s="93">
        <f>+UTAMA!E34</f>
        <v>164.75</v>
      </c>
      <c r="D34" s="94">
        <f>+UTAMA!F34</f>
        <v>5</v>
      </c>
      <c r="E34" s="97">
        <f>+UTAMA!G34</f>
        <v>145.69999999999999</v>
      </c>
      <c r="F34" s="94">
        <f>+UTAMA!H34</f>
        <v>1.018</v>
      </c>
      <c r="G34" s="93">
        <f>+UTAMA!I34</f>
        <v>146.82</v>
      </c>
      <c r="H34" s="94">
        <f>+UTAMA!J34</f>
        <v>1.51</v>
      </c>
      <c r="I34" s="102">
        <v>7394</v>
      </c>
      <c r="K34" s="128"/>
      <c r="L34" s="128"/>
      <c r="M34" s="128"/>
      <c r="N34" s="104"/>
    </row>
    <row r="35" spans="1:14" ht="15.75" x14ac:dyDescent="0.25">
      <c r="A35" s="129">
        <f t="shared" si="0"/>
        <v>25</v>
      </c>
      <c r="B35" s="130" t="s">
        <v>53</v>
      </c>
      <c r="C35" s="93">
        <f>+UTAMA!E35</f>
        <v>179.1</v>
      </c>
      <c r="D35" s="94">
        <f>+UTAMA!F35</f>
        <v>4.2</v>
      </c>
      <c r="E35" s="105">
        <f>+UTAMA!G35</f>
        <v>230.5</v>
      </c>
      <c r="F35" s="94">
        <f>+UTAMA!H35</f>
        <v>2.2130000000000001</v>
      </c>
      <c r="G35" s="93">
        <f>+UTAMA!I35</f>
        <v>232.27</v>
      </c>
      <c r="H35" s="94">
        <f>+UTAMA!J35</f>
        <v>3.23</v>
      </c>
      <c r="I35" s="102">
        <v>2410</v>
      </c>
      <c r="K35" s="128"/>
      <c r="L35" s="128"/>
      <c r="M35" s="128"/>
      <c r="N35" s="104"/>
    </row>
    <row r="36" spans="1:14" ht="15.75" x14ac:dyDescent="0.25">
      <c r="A36" s="129">
        <f t="shared" si="0"/>
        <v>26</v>
      </c>
      <c r="B36" s="130" t="s">
        <v>54</v>
      </c>
      <c r="C36" s="93">
        <f>+UTAMA!E36</f>
        <v>325.56</v>
      </c>
      <c r="D36" s="94">
        <f>+UTAMA!F36</f>
        <v>0.70099999999999996</v>
      </c>
      <c r="E36" s="105">
        <f>+UTAMA!G36</f>
        <v>323.5</v>
      </c>
      <c r="F36" s="94">
        <f>+UTAMA!H36</f>
        <v>0.51800000000000002</v>
      </c>
      <c r="G36" s="93">
        <f>+UTAMA!I36</f>
        <v>325.5</v>
      </c>
      <c r="H36" s="94">
        <f>+UTAMA!J36</f>
        <v>0.69499999999999995</v>
      </c>
      <c r="I36" s="102">
        <v>1370</v>
      </c>
      <c r="K36" s="128"/>
      <c r="L36" s="128"/>
      <c r="M36" s="128"/>
      <c r="N36" s="104"/>
    </row>
    <row r="37" spans="1:14" ht="15.75" x14ac:dyDescent="0.25">
      <c r="A37" s="129">
        <f t="shared" si="0"/>
        <v>27</v>
      </c>
      <c r="B37" s="130" t="s">
        <v>55</v>
      </c>
      <c r="C37" s="93">
        <f>+UTAMA!E37</f>
        <v>129.19999999999999</v>
      </c>
      <c r="D37" s="94">
        <f>+UTAMA!F37</f>
        <v>0.5</v>
      </c>
      <c r="E37" s="105">
        <f>+UTAMA!G37</f>
        <v>126.56</v>
      </c>
      <c r="F37" s="94">
        <f>+UTAMA!H37</f>
        <v>0.222</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279.64999999999998</v>
      </c>
      <c r="F38" s="94">
        <f>+UTAMA!H38</f>
        <v>0.17699999999999999</v>
      </c>
      <c r="G38" s="93">
        <f>+UTAMA!I38</f>
        <v>282.77999999999997</v>
      </c>
      <c r="H38" s="94">
        <f>+UTAMA!J38</f>
        <v>0.51300000000000001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98</v>
      </c>
      <c r="F39" s="94">
        <f>+UTAMA!H39</f>
        <v>0.78700000000000003</v>
      </c>
      <c r="G39" s="93">
        <f>+UTAMA!I39</f>
        <v>97.2</v>
      </c>
      <c r="H39" s="94">
        <f>+UTAMA!J39</f>
        <v>0.61599999999999999</v>
      </c>
      <c r="I39" s="102">
        <v>892</v>
      </c>
      <c r="K39" s="128"/>
      <c r="L39" s="128"/>
      <c r="M39" s="128"/>
      <c r="N39" s="104"/>
    </row>
    <row r="40" spans="1:14" ht="15.75" x14ac:dyDescent="0.25">
      <c r="A40" s="129">
        <f t="shared" si="0"/>
        <v>30</v>
      </c>
      <c r="B40" s="130" t="s">
        <v>58</v>
      </c>
      <c r="C40" s="93">
        <f>+UTAMA!E40</f>
        <v>189.7</v>
      </c>
      <c r="D40" s="94">
        <f>+UTAMA!F40</f>
        <v>7.9000000000000001E-2</v>
      </c>
      <c r="E40" s="105">
        <f>+UTAMA!G40</f>
        <v>189</v>
      </c>
      <c r="F40" s="94">
        <f>+UTAMA!H40</f>
        <v>5.8999999999999997E-2</v>
      </c>
      <c r="G40" s="93">
        <f>+UTAMA!I40</f>
        <v>189.17</v>
      </c>
      <c r="H40" s="94">
        <f>+UTAMA!J40</f>
        <v>6.7000000000000004E-2</v>
      </c>
      <c r="I40" s="102">
        <v>274</v>
      </c>
      <c r="K40" s="128"/>
      <c r="L40" s="128"/>
      <c r="M40" s="128"/>
      <c r="N40" s="104"/>
    </row>
    <row r="41" spans="1:14" ht="15.75" x14ac:dyDescent="0.25">
      <c r="A41" s="129">
        <f t="shared" si="0"/>
        <v>31</v>
      </c>
      <c r="B41" s="130" t="s">
        <v>59</v>
      </c>
      <c r="C41" s="93">
        <f>+UTAMA!E41</f>
        <v>171.19</v>
      </c>
      <c r="D41" s="94">
        <f>+UTAMA!F41</f>
        <v>9.6879999999999994E-2</v>
      </c>
      <c r="E41" s="105">
        <f>+UTAMA!G41</f>
        <v>170.27</v>
      </c>
      <c r="F41" s="94">
        <f>+UTAMA!H41</f>
        <v>7.3999999999999996E-2</v>
      </c>
      <c r="G41" s="93">
        <f>+UTAMA!I41</f>
        <v>171.45</v>
      </c>
      <c r="H41" s="94">
        <f>+UTAMA!J41</f>
        <v>0.10299999999999999</v>
      </c>
      <c r="I41" s="102">
        <v>395</v>
      </c>
      <c r="K41" s="128"/>
      <c r="L41" s="128"/>
      <c r="M41" s="128"/>
      <c r="N41" s="104"/>
    </row>
    <row r="42" spans="1:14" ht="15.75" x14ac:dyDescent="0.25">
      <c r="A42" s="129">
        <f t="shared" si="0"/>
        <v>32</v>
      </c>
      <c r="B42" s="130" t="s">
        <v>60</v>
      </c>
      <c r="C42" s="93">
        <f>+UTAMA!E42</f>
        <v>142.6</v>
      </c>
      <c r="D42" s="94">
        <f>+UTAMA!F42</f>
        <v>9.157</v>
      </c>
      <c r="E42" s="105">
        <f>+UTAMA!G42</f>
        <v>151.47</v>
      </c>
      <c r="F42" s="94">
        <f>+UTAMA!H42</f>
        <v>4.984</v>
      </c>
      <c r="G42" s="93">
        <f>+UTAMA!I42</f>
        <v>151.16999999999999</v>
      </c>
      <c r="H42" s="94">
        <f>+UTAMA!J42</f>
        <v>4.32</v>
      </c>
      <c r="I42" s="98">
        <v>1570</v>
      </c>
      <c r="K42" s="128"/>
      <c r="L42" s="128"/>
      <c r="M42" s="128"/>
      <c r="N42" s="104"/>
    </row>
    <row r="43" spans="1:14" ht="15.75" x14ac:dyDescent="0.25">
      <c r="A43" s="129">
        <f t="shared" si="0"/>
        <v>33</v>
      </c>
      <c r="B43" s="130" t="s">
        <v>61</v>
      </c>
      <c r="C43" s="93">
        <f>+UTAMA!E43</f>
        <v>239.5</v>
      </c>
      <c r="D43" s="94">
        <f>+UTAMA!F43</f>
        <v>2.6720000000000002</v>
      </c>
      <c r="E43" s="105">
        <f>+UTAMA!G43</f>
        <v>239.7</v>
      </c>
      <c r="F43" s="94">
        <f>+UTAMA!H43</f>
        <v>2.8559999999999999</v>
      </c>
      <c r="G43" s="93">
        <f>+UTAMA!I43</f>
        <v>236.71</v>
      </c>
      <c r="H43" s="94">
        <f>+UTAMA!J43</f>
        <v>1.2629999999999999</v>
      </c>
      <c r="I43" s="98">
        <v>1353</v>
      </c>
      <c r="K43" s="128"/>
      <c r="L43" s="128"/>
      <c r="M43" s="128"/>
      <c r="N43" s="104"/>
    </row>
    <row r="44" spans="1:14" ht="15.75" x14ac:dyDescent="0.25">
      <c r="A44" s="129">
        <f t="shared" si="0"/>
        <v>34</v>
      </c>
      <c r="B44" s="130" t="s">
        <v>62</v>
      </c>
      <c r="C44" s="93">
        <f>+UTAMA!E44</f>
        <v>120.5</v>
      </c>
      <c r="D44" s="94">
        <f>+UTAMA!F44</f>
        <v>3.677</v>
      </c>
      <c r="E44" s="105">
        <f>+UTAMA!G44</f>
        <v>118.75</v>
      </c>
      <c r="F44" s="94">
        <f>+UTAMA!H44</f>
        <v>0.83</v>
      </c>
      <c r="G44" s="93">
        <f>+UTAMA!I44</f>
        <v>120.75</v>
      </c>
      <c r="H44" s="94">
        <f>+UTAMA!J44</f>
        <v>4.1539999999999999</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109.62</v>
      </c>
      <c r="H45" s="94">
        <f>+UTAMA!J45</f>
        <v>1.41</v>
      </c>
      <c r="I45" s="102">
        <v>43</v>
      </c>
      <c r="K45" s="128"/>
      <c r="L45" s="128"/>
      <c r="M45" s="128"/>
      <c r="N45" s="104"/>
    </row>
    <row r="46" spans="1:14" ht="15.75" x14ac:dyDescent="0.25">
      <c r="A46" s="129">
        <f t="shared" si="0"/>
        <v>36</v>
      </c>
      <c r="B46" s="130" t="s">
        <v>64</v>
      </c>
      <c r="C46" s="93">
        <f>+UTAMA!E46</f>
        <v>72</v>
      </c>
      <c r="D46" s="94">
        <f>+UTAMA!F46</f>
        <v>38.036000000000001</v>
      </c>
      <c r="E46" s="105">
        <f>+UTAMA!G46</f>
        <v>65.599999999999994</v>
      </c>
      <c r="F46" s="94">
        <f>+UTAMA!H46</f>
        <v>24.260999999999999</v>
      </c>
      <c r="G46" s="93">
        <f>+UTAMA!I46</f>
        <v>64.77</v>
      </c>
      <c r="H46" s="94">
        <f>+UTAMA!J46</f>
        <v>22.792999999999999</v>
      </c>
      <c r="I46" s="98">
        <v>6485</v>
      </c>
      <c r="K46" s="128"/>
      <c r="L46" s="128"/>
      <c r="M46" s="128"/>
      <c r="N46" s="104"/>
    </row>
    <row r="47" spans="1:14" ht="15.75" x14ac:dyDescent="0.25">
      <c r="A47" s="129">
        <f t="shared" si="0"/>
        <v>37</v>
      </c>
      <c r="B47" s="130" t="s">
        <v>65</v>
      </c>
      <c r="C47" s="93">
        <f>+UTAMA!E47</f>
        <v>185</v>
      </c>
      <c r="D47" s="94">
        <f>+UTAMA!F47</f>
        <v>388.72199999999998</v>
      </c>
      <c r="E47" s="105">
        <f>+UTAMA!G47</f>
        <v>169.5</v>
      </c>
      <c r="F47" s="94">
        <f>+UTAMA!H47</f>
        <v>238.97900000000001</v>
      </c>
      <c r="G47" s="93">
        <f>+UTAMA!I47</f>
        <v>163.44999999999999</v>
      </c>
      <c r="H47" s="94">
        <f>+UTAMA!J47</f>
        <v>187.37100000000001</v>
      </c>
      <c r="I47" s="98">
        <v>31109</v>
      </c>
      <c r="K47" s="128"/>
      <c r="L47" s="128"/>
      <c r="M47" s="128"/>
      <c r="N47" s="104"/>
    </row>
    <row r="48" spans="1:14" ht="16.5" thickBot="1" x14ac:dyDescent="0.3">
      <c r="A48" s="132">
        <f t="shared" si="0"/>
        <v>38</v>
      </c>
      <c r="B48" s="133" t="s">
        <v>66</v>
      </c>
      <c r="C48" s="93">
        <f>+UTAMA!E48</f>
        <v>231</v>
      </c>
      <c r="D48" s="94">
        <f>+UTAMA!F48</f>
        <v>23.24</v>
      </c>
      <c r="E48" s="105">
        <f>+UTAMA!G48</f>
        <v>227.73</v>
      </c>
      <c r="F48" s="94">
        <f>+UTAMA!H48</f>
        <v>3.6030000000000002</v>
      </c>
      <c r="G48" s="93">
        <f>+UTAMA!I48</f>
        <v>230.48</v>
      </c>
      <c r="H48" s="94">
        <f>+UTAMA!J48</f>
        <v>15.532999999999999</v>
      </c>
      <c r="I48" s="106">
        <v>8400</v>
      </c>
      <c r="K48" s="128"/>
      <c r="L48" s="128"/>
      <c r="M48" s="128"/>
      <c r="N48" s="99"/>
    </row>
    <row r="49" spans="1:14" ht="16.5" thickBot="1" x14ac:dyDescent="0.3">
      <c r="A49" s="134"/>
      <c r="B49" s="124" t="s">
        <v>67</v>
      </c>
      <c r="C49" s="107"/>
      <c r="D49" s="135">
        <f>SUM(D11:D48)</f>
        <v>1787.681478</v>
      </c>
      <c r="E49" s="107"/>
      <c r="F49" s="135">
        <f>SUM(F11:F48)</f>
        <v>1029.1240519999999</v>
      </c>
      <c r="G49" s="107"/>
      <c r="H49" s="135">
        <f>SUM(H11:H48)</f>
        <v>688.70139804980067</v>
      </c>
      <c r="I49" s="136">
        <f>SUM(I11:I48)</f>
        <v>270584</v>
      </c>
      <c r="K49" s="128"/>
      <c r="L49" s="128"/>
      <c r="M49" s="128"/>
      <c r="N49" s="99"/>
    </row>
    <row r="50" spans="1:14" ht="16.5" thickBot="1" x14ac:dyDescent="0.3">
      <c r="A50" s="137" t="s">
        <v>68</v>
      </c>
      <c r="B50" s="124" t="s">
        <v>69</v>
      </c>
      <c r="C50" s="107"/>
      <c r="D50" s="135"/>
      <c r="E50" s="138"/>
      <c r="F50" s="139">
        <v>1</v>
      </c>
      <c r="G50" s="107"/>
      <c r="H50" s="140">
        <f>+H49/F49</f>
        <v>0.66921125466981191</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topLeftCell="A40" zoomScale="70" zoomScaleNormal="70" workbookViewId="0">
      <selection activeCell="I48" sqref="I48"/>
    </sheetView>
  </sheetViews>
  <sheetFormatPr defaultRowHeight="27" customHeight="1" x14ac:dyDescent="0.2"/>
  <cols>
    <col min="1" max="1" width="1.85546875" style="216" customWidth="1"/>
    <col min="2" max="2" width="5" style="216" customWidth="1"/>
    <col min="3" max="3" width="18.42578125" style="216" customWidth="1"/>
    <col min="4" max="4" width="16.2851562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3.28515625"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5.8554687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35" t="s">
        <v>271</v>
      </c>
      <c r="C2" s="835"/>
      <c r="D2" s="835"/>
      <c r="E2" s="835"/>
      <c r="F2" s="835"/>
      <c r="G2" s="835"/>
      <c r="H2" s="835"/>
      <c r="I2" s="835"/>
      <c r="J2" s="835"/>
      <c r="K2" s="835"/>
      <c r="L2" s="835"/>
      <c r="N2" s="823" t="s">
        <v>169</v>
      </c>
      <c r="O2" s="824"/>
      <c r="P2" s="824"/>
      <c r="Q2" s="824"/>
      <c r="R2" s="824"/>
      <c r="S2" s="824"/>
      <c r="T2" s="824"/>
      <c r="U2" s="824"/>
      <c r="V2" s="824"/>
      <c r="W2" s="824"/>
      <c r="X2" s="824"/>
      <c r="Y2" s="824"/>
      <c r="Z2" s="825"/>
      <c r="AB2" s="818" t="s">
        <v>210</v>
      </c>
      <c r="AC2" s="818"/>
      <c r="AD2" s="818"/>
      <c r="AE2" s="818"/>
      <c r="AF2" s="818"/>
      <c r="AG2" s="818"/>
      <c r="AH2" s="818"/>
      <c r="AI2" s="818"/>
      <c r="AJ2" s="818"/>
      <c r="AK2" s="818"/>
      <c r="AL2" s="818"/>
      <c r="AM2" s="818"/>
      <c r="AN2" s="818"/>
      <c r="AO2"/>
      <c r="AP2"/>
      <c r="AQ2" s="819"/>
      <c r="AR2" s="819"/>
      <c r="AS2" s="819"/>
      <c r="AT2"/>
      <c r="AU2"/>
      <c r="AV2"/>
      <c r="AW2"/>
      <c r="AX2"/>
      <c r="AY2"/>
      <c r="AZ2"/>
      <c r="BA2"/>
      <c r="BB2"/>
      <c r="BC2"/>
      <c r="BD2"/>
      <c r="BE2"/>
    </row>
    <row r="3" spans="2:57" ht="27" customHeight="1" x14ac:dyDescent="0.3">
      <c r="B3" s="835"/>
      <c r="C3" s="835"/>
      <c r="D3" s="835"/>
      <c r="E3" s="835"/>
      <c r="F3" s="835"/>
      <c r="G3" s="835"/>
      <c r="H3" s="835"/>
      <c r="I3" s="835"/>
      <c r="J3" s="835"/>
      <c r="K3" s="835"/>
      <c r="L3" s="835"/>
      <c r="N3" s="820" t="s">
        <v>227</v>
      </c>
      <c r="O3" s="821"/>
      <c r="P3" s="821"/>
      <c r="Q3" s="821"/>
      <c r="R3" s="821"/>
      <c r="S3" s="821"/>
      <c r="T3" s="821"/>
      <c r="U3" s="821"/>
      <c r="V3" s="821"/>
      <c r="W3" s="821"/>
      <c r="X3" s="821"/>
      <c r="Y3" s="821"/>
      <c r="Z3" s="822"/>
      <c r="AB3" s="818" t="s">
        <v>306</v>
      </c>
      <c r="AC3" s="818"/>
      <c r="AD3" s="818"/>
      <c r="AE3" s="818"/>
      <c r="AF3" s="818"/>
      <c r="AG3" s="818"/>
      <c r="AH3" s="818"/>
      <c r="AI3" s="818"/>
      <c r="AJ3" s="818"/>
      <c r="AK3" s="818"/>
      <c r="AL3" s="818"/>
      <c r="AM3" s="818"/>
      <c r="AN3" s="818"/>
      <c r="AO3"/>
      <c r="AP3"/>
      <c r="AQ3"/>
      <c r="AR3"/>
      <c r="AS3"/>
      <c r="AT3"/>
      <c r="AU3"/>
      <c r="AV3"/>
      <c r="AW3"/>
      <c r="AX3"/>
      <c r="AY3"/>
      <c r="AZ3"/>
      <c r="BA3"/>
      <c r="BB3"/>
      <c r="BC3"/>
      <c r="BD3"/>
      <c r="BE3"/>
    </row>
    <row r="4" spans="2:57" ht="27" customHeight="1" thickBot="1" x14ac:dyDescent="0.25">
      <c r="B4" s="834" t="s">
        <v>310</v>
      </c>
      <c r="C4" s="834"/>
      <c r="D4" s="834"/>
      <c r="E4" s="834"/>
      <c r="F4" s="834"/>
      <c r="G4" s="834"/>
      <c r="H4" s="834"/>
      <c r="I4" s="834"/>
      <c r="J4" s="834"/>
      <c r="K4" s="834"/>
      <c r="L4" s="834"/>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27" customHeight="1" thickBot="1" x14ac:dyDescent="0.25">
      <c r="B5" s="389"/>
      <c r="C5" s="389"/>
      <c r="D5" s="389"/>
      <c r="E5" s="389"/>
      <c r="F5" s="389"/>
      <c r="G5" s="389"/>
      <c r="H5" s="389"/>
      <c r="I5" s="389"/>
      <c r="J5" s="389"/>
      <c r="K5" s="389"/>
      <c r="L5" s="389"/>
      <c r="N5" s="828" t="s">
        <v>133</v>
      </c>
      <c r="O5" s="830" t="s">
        <v>134</v>
      </c>
      <c r="P5" s="830" t="s">
        <v>135</v>
      </c>
      <c r="Q5" s="830" t="s">
        <v>136</v>
      </c>
      <c r="R5" s="830" t="s">
        <v>137</v>
      </c>
      <c r="S5" s="830" t="s">
        <v>119</v>
      </c>
      <c r="T5" s="830" t="s">
        <v>138</v>
      </c>
      <c r="U5" s="830" t="s">
        <v>139</v>
      </c>
      <c r="V5" s="830" t="s">
        <v>140</v>
      </c>
      <c r="W5" s="830" t="s">
        <v>141</v>
      </c>
      <c r="X5" s="830" t="s">
        <v>142</v>
      </c>
      <c r="Y5" s="830" t="s">
        <v>143</v>
      </c>
      <c r="Z5" s="832" t="s">
        <v>144</v>
      </c>
      <c r="AB5" s="671" t="s">
        <v>133</v>
      </c>
      <c r="AC5" s="672" t="s">
        <v>134</v>
      </c>
      <c r="AD5" s="673" t="s">
        <v>135</v>
      </c>
      <c r="AE5" s="673" t="s">
        <v>136</v>
      </c>
      <c r="AF5" s="673" t="s">
        <v>137</v>
      </c>
      <c r="AG5" s="673" t="s">
        <v>119</v>
      </c>
      <c r="AH5" s="673" t="s">
        <v>138</v>
      </c>
      <c r="AI5" s="673" t="s">
        <v>139</v>
      </c>
      <c r="AJ5" s="673" t="s">
        <v>140</v>
      </c>
      <c r="AK5" s="673" t="s">
        <v>141</v>
      </c>
      <c r="AL5" s="673" t="s">
        <v>142</v>
      </c>
      <c r="AM5" s="673" t="s">
        <v>143</v>
      </c>
      <c r="AN5" s="674" t="s">
        <v>144</v>
      </c>
      <c r="AO5" s="676"/>
      <c r="AP5"/>
      <c r="AQ5"/>
      <c r="AR5"/>
      <c r="AS5"/>
      <c r="AT5"/>
      <c r="AU5"/>
      <c r="AV5"/>
      <c r="AW5"/>
      <c r="AX5"/>
      <c r="AY5"/>
      <c r="AZ5"/>
      <c r="BA5"/>
      <c r="BB5"/>
      <c r="BC5"/>
      <c r="BD5"/>
      <c r="BE5"/>
    </row>
    <row r="6" spans="2:57" ht="27" customHeight="1" thickBot="1" x14ac:dyDescent="0.25">
      <c r="B6" s="390"/>
      <c r="C6" s="580"/>
      <c r="D6" s="580"/>
      <c r="E6" s="580"/>
      <c r="F6" s="581">
        <v>17</v>
      </c>
      <c r="G6" s="392" t="s">
        <v>277</v>
      </c>
      <c r="H6" s="581">
        <v>2020</v>
      </c>
      <c r="I6" s="580"/>
      <c r="J6" s="580"/>
      <c r="K6" s="580"/>
      <c r="L6" s="582"/>
      <c r="N6" s="829"/>
      <c r="O6" s="831"/>
      <c r="P6" s="831"/>
      <c r="Q6" s="831"/>
      <c r="R6" s="831"/>
      <c r="S6" s="831"/>
      <c r="T6" s="831"/>
      <c r="U6" s="831"/>
      <c r="V6" s="831"/>
      <c r="W6" s="831"/>
      <c r="X6" s="831"/>
      <c r="Y6" s="831"/>
      <c r="Z6" s="833"/>
      <c r="AB6" s="675"/>
      <c r="AC6" s="677"/>
      <c r="AD6" s="678"/>
      <c r="AE6" s="678"/>
      <c r="AF6" s="678"/>
      <c r="AG6" s="678"/>
      <c r="AH6" s="678"/>
      <c r="AI6" s="678"/>
      <c r="AJ6" s="678"/>
      <c r="AK6" s="678"/>
      <c r="AL6" s="678"/>
      <c r="AM6" s="678"/>
      <c r="AN6" s="679"/>
      <c r="AO6" s="676"/>
      <c r="AP6"/>
      <c r="AQ6"/>
      <c r="AR6"/>
      <c r="AS6"/>
      <c r="AT6"/>
      <c r="AU6"/>
      <c r="AV6"/>
      <c r="AW6"/>
      <c r="AX6"/>
      <c r="AY6"/>
      <c r="AZ6"/>
      <c r="BA6"/>
      <c r="BB6"/>
      <c r="BC6"/>
      <c r="BD6"/>
      <c r="BE6"/>
    </row>
    <row r="7" spans="2:57" ht="27" customHeight="1" thickBot="1" x14ac:dyDescent="0.25">
      <c r="B7" s="839" t="s">
        <v>18</v>
      </c>
      <c r="C7" s="842" t="s">
        <v>19</v>
      </c>
      <c r="D7" s="842" t="s">
        <v>75</v>
      </c>
      <c r="E7" s="845" t="s">
        <v>20</v>
      </c>
      <c r="F7" s="846"/>
      <c r="G7" s="845" t="s">
        <v>96</v>
      </c>
      <c r="H7" s="846"/>
      <c r="I7" s="845" t="s">
        <v>22</v>
      </c>
      <c r="J7" s="846"/>
      <c r="K7" s="850" t="s">
        <v>206</v>
      </c>
      <c r="L7" s="836" t="s">
        <v>74</v>
      </c>
      <c r="N7" s="233">
        <v>1</v>
      </c>
      <c r="O7" s="498">
        <v>561.32000000000005</v>
      </c>
      <c r="P7" s="495">
        <v>696.57</v>
      </c>
      <c r="Q7" s="495">
        <v>1045.22</v>
      </c>
      <c r="R7" s="236">
        <v>1212.3399999999999</v>
      </c>
      <c r="S7" s="495">
        <v>1293.04</v>
      </c>
      <c r="T7" s="495">
        <v>1286.17</v>
      </c>
      <c r="U7" s="236">
        <v>0</v>
      </c>
      <c r="V7" s="236">
        <v>0</v>
      </c>
      <c r="W7" s="236">
        <v>0</v>
      </c>
      <c r="X7" s="236">
        <v>0</v>
      </c>
      <c r="Y7" s="236">
        <v>0</v>
      </c>
      <c r="Z7" s="237">
        <v>0</v>
      </c>
      <c r="AB7" s="668">
        <v>1</v>
      </c>
      <c r="AC7" s="680">
        <v>338.45</v>
      </c>
      <c r="AD7" s="681">
        <v>594.27</v>
      </c>
      <c r="AE7" s="681">
        <v>0</v>
      </c>
      <c r="AF7" s="681">
        <v>0</v>
      </c>
      <c r="AG7" s="681">
        <v>0</v>
      </c>
      <c r="AH7" s="681">
        <v>0</v>
      </c>
      <c r="AI7" s="681">
        <v>0</v>
      </c>
      <c r="AJ7" s="681">
        <v>0</v>
      </c>
      <c r="AK7" s="681">
        <v>0</v>
      </c>
      <c r="AL7" s="681">
        <v>0</v>
      </c>
      <c r="AM7" s="681">
        <v>0</v>
      </c>
      <c r="AN7" s="682">
        <v>0</v>
      </c>
      <c r="AO7" s="676"/>
      <c r="AP7"/>
      <c r="AQ7"/>
      <c r="AR7"/>
      <c r="AS7"/>
      <c r="AT7"/>
      <c r="AU7"/>
      <c r="AV7"/>
      <c r="AW7"/>
      <c r="AX7"/>
      <c r="AY7"/>
      <c r="AZ7"/>
      <c r="BA7"/>
      <c r="BB7"/>
      <c r="BC7"/>
      <c r="BD7"/>
      <c r="BE7"/>
    </row>
    <row r="8" spans="2:57" ht="27" customHeight="1" thickBot="1" x14ac:dyDescent="0.25">
      <c r="B8" s="840"/>
      <c r="C8" s="843"/>
      <c r="D8" s="843"/>
      <c r="E8" s="729" t="s">
        <v>24</v>
      </c>
      <c r="F8" s="729" t="s">
        <v>25</v>
      </c>
      <c r="G8" s="730" t="s">
        <v>24</v>
      </c>
      <c r="H8" s="729" t="s">
        <v>25</v>
      </c>
      <c r="I8" s="730" t="s">
        <v>24</v>
      </c>
      <c r="J8" s="729" t="s">
        <v>25</v>
      </c>
      <c r="K8" s="851"/>
      <c r="L8" s="837"/>
      <c r="M8" s="224"/>
      <c r="N8" s="231">
        <v>2</v>
      </c>
      <c r="O8" s="499">
        <v>557.51</v>
      </c>
      <c r="P8" s="496">
        <v>693.59</v>
      </c>
      <c r="Q8" s="496">
        <v>1042.53</v>
      </c>
      <c r="R8" s="238">
        <v>1218.92</v>
      </c>
      <c r="S8" s="496">
        <v>1290.55</v>
      </c>
      <c r="T8" s="496">
        <v>1289.7</v>
      </c>
      <c r="U8" s="238">
        <v>0</v>
      </c>
      <c r="V8" s="238">
        <v>0</v>
      </c>
      <c r="W8" s="238">
        <v>0</v>
      </c>
      <c r="X8" s="238">
        <v>0</v>
      </c>
      <c r="Y8" s="238">
        <v>0</v>
      </c>
      <c r="Z8" s="239">
        <v>0</v>
      </c>
      <c r="AB8" s="669">
        <v>2</v>
      </c>
      <c r="AC8" s="680">
        <v>347.35</v>
      </c>
      <c r="AD8" s="681">
        <v>600.49</v>
      </c>
      <c r="AE8" s="681">
        <v>0</v>
      </c>
      <c r="AF8" s="681">
        <v>0</v>
      </c>
      <c r="AG8" s="681">
        <v>0</v>
      </c>
      <c r="AH8" s="681">
        <v>0</v>
      </c>
      <c r="AI8" s="681">
        <v>0</v>
      </c>
      <c r="AJ8" s="681">
        <v>0</v>
      </c>
      <c r="AK8" s="681">
        <v>0</v>
      </c>
      <c r="AL8" s="681">
        <v>0</v>
      </c>
      <c r="AM8" s="681">
        <v>0</v>
      </c>
      <c r="AN8" s="682">
        <v>0</v>
      </c>
      <c r="AO8" s="676"/>
      <c r="AP8"/>
      <c r="AQ8"/>
      <c r="AR8"/>
      <c r="AS8"/>
      <c r="AT8"/>
      <c r="AU8"/>
      <c r="AV8"/>
      <c r="AW8"/>
      <c r="AX8"/>
      <c r="AY8"/>
      <c r="AZ8"/>
      <c r="BA8"/>
      <c r="BB8"/>
      <c r="BC8"/>
      <c r="BD8"/>
      <c r="BE8"/>
    </row>
    <row r="9" spans="2:57" ht="27" customHeight="1" thickBot="1" x14ac:dyDescent="0.25">
      <c r="B9" s="841"/>
      <c r="C9" s="844"/>
      <c r="D9" s="844"/>
      <c r="E9" s="731" t="s">
        <v>26</v>
      </c>
      <c r="F9" s="731" t="s">
        <v>299</v>
      </c>
      <c r="G9" s="732" t="s">
        <v>26</v>
      </c>
      <c r="H9" s="731" t="s">
        <v>299</v>
      </c>
      <c r="I9" s="732" t="s">
        <v>26</v>
      </c>
      <c r="J9" s="731" t="s">
        <v>299</v>
      </c>
      <c r="K9" s="852"/>
      <c r="L9" s="838"/>
      <c r="M9" s="224"/>
      <c r="N9" s="231">
        <v>3</v>
      </c>
      <c r="O9" s="499">
        <v>556.70000000000005</v>
      </c>
      <c r="P9" s="496">
        <v>696.47</v>
      </c>
      <c r="Q9" s="496">
        <v>1042.73</v>
      </c>
      <c r="R9" s="238">
        <v>1227</v>
      </c>
      <c r="S9" s="496">
        <v>1284</v>
      </c>
      <c r="T9" s="496">
        <v>1301.4100000000001</v>
      </c>
      <c r="U9" s="238">
        <v>0</v>
      </c>
      <c r="V9" s="238">
        <v>0</v>
      </c>
      <c r="W9" s="238">
        <v>0</v>
      </c>
      <c r="X9" s="238">
        <v>0</v>
      </c>
      <c r="Y9" s="238">
        <v>0</v>
      </c>
      <c r="Z9" s="239">
        <v>0</v>
      </c>
      <c r="AB9" s="669">
        <v>3</v>
      </c>
      <c r="AC9" s="680">
        <v>375.14</v>
      </c>
      <c r="AD9" s="681">
        <v>602.54999999999995</v>
      </c>
      <c r="AE9" s="681">
        <v>0</v>
      </c>
      <c r="AF9" s="681">
        <v>0</v>
      </c>
      <c r="AG9" s="681">
        <v>0</v>
      </c>
      <c r="AH9" s="681">
        <v>0</v>
      </c>
      <c r="AI9" s="681">
        <v>0</v>
      </c>
      <c r="AJ9" s="681">
        <v>0</v>
      </c>
      <c r="AK9" s="681">
        <v>0</v>
      </c>
      <c r="AL9" s="681">
        <v>0</v>
      </c>
      <c r="AM9" s="681">
        <v>0</v>
      </c>
      <c r="AN9" s="682">
        <v>0</v>
      </c>
      <c r="AO9" s="676"/>
      <c r="AP9"/>
      <c r="AQ9"/>
      <c r="AR9"/>
      <c r="AS9"/>
      <c r="AT9"/>
      <c r="AU9"/>
      <c r="AV9"/>
      <c r="AW9"/>
      <c r="AX9"/>
      <c r="AY9"/>
      <c r="AZ9"/>
      <c r="BA9"/>
      <c r="BB9"/>
      <c r="BC9"/>
      <c r="BD9"/>
      <c r="BE9"/>
    </row>
    <row r="10" spans="2:57" ht="27" customHeight="1" thickBot="1" x14ac:dyDescent="0.25">
      <c r="B10" s="733">
        <v>1</v>
      </c>
      <c r="C10" s="734">
        <v>2</v>
      </c>
      <c r="D10" s="734">
        <v>3</v>
      </c>
      <c r="E10" s="734">
        <v>4</v>
      </c>
      <c r="F10" s="734">
        <v>5</v>
      </c>
      <c r="G10" s="734">
        <v>6</v>
      </c>
      <c r="H10" s="734">
        <v>7</v>
      </c>
      <c r="I10" s="734">
        <v>8</v>
      </c>
      <c r="J10" s="734">
        <v>9</v>
      </c>
      <c r="K10" s="735">
        <v>10</v>
      </c>
      <c r="L10" s="736"/>
      <c r="M10" s="224"/>
      <c r="N10" s="231">
        <v>4</v>
      </c>
      <c r="O10" s="499">
        <v>559.78</v>
      </c>
      <c r="P10" s="496">
        <v>698.15</v>
      </c>
      <c r="Q10" s="496">
        <v>1048.6199999999999</v>
      </c>
      <c r="R10" s="238">
        <v>1232.53</v>
      </c>
      <c r="S10" s="496">
        <v>1278</v>
      </c>
      <c r="T10" s="496">
        <v>1304.31</v>
      </c>
      <c r="U10" s="238">
        <v>0</v>
      </c>
      <c r="V10" s="238">
        <v>0</v>
      </c>
      <c r="W10" s="238">
        <v>0</v>
      </c>
      <c r="X10" s="238">
        <v>0</v>
      </c>
      <c r="Y10" s="238">
        <v>0</v>
      </c>
      <c r="Z10" s="239">
        <v>0</v>
      </c>
      <c r="AB10" s="669">
        <v>4</v>
      </c>
      <c r="AC10" s="680">
        <v>385.98</v>
      </c>
      <c r="AD10" s="681">
        <v>612.39</v>
      </c>
      <c r="AE10" s="681">
        <v>0</v>
      </c>
      <c r="AF10" s="681">
        <v>0</v>
      </c>
      <c r="AG10" s="681">
        <v>0</v>
      </c>
      <c r="AH10" s="681">
        <v>0</v>
      </c>
      <c r="AI10" s="681">
        <v>0</v>
      </c>
      <c r="AJ10" s="681">
        <v>0</v>
      </c>
      <c r="AK10" s="681">
        <v>0</v>
      </c>
      <c r="AL10" s="681">
        <v>0</v>
      </c>
      <c r="AM10" s="681">
        <v>0</v>
      </c>
      <c r="AN10" s="682">
        <v>0</v>
      </c>
      <c r="AO10" s="676"/>
      <c r="AP10"/>
      <c r="AQ10"/>
      <c r="AR10"/>
      <c r="AS10"/>
      <c r="AT10"/>
      <c r="AU10"/>
      <c r="AV10"/>
      <c r="AW10"/>
      <c r="AX10"/>
      <c r="AY10"/>
      <c r="AZ10"/>
      <c r="BA10"/>
      <c r="BB10"/>
      <c r="BC10"/>
      <c r="BD10"/>
      <c r="BE10"/>
    </row>
    <row r="11" spans="2:57" ht="27" customHeight="1" thickBot="1" x14ac:dyDescent="0.25">
      <c r="B11" s="395">
        <v>1</v>
      </c>
      <c r="C11" s="585" t="s">
        <v>28</v>
      </c>
      <c r="D11" s="585" t="s">
        <v>76</v>
      </c>
      <c r="E11" s="586">
        <v>55.77</v>
      </c>
      <c r="F11" s="587">
        <v>31.144597999999998</v>
      </c>
      <c r="G11" s="588">
        <v>55.73</v>
      </c>
      <c r="H11" s="588">
        <v>30.887119999999999</v>
      </c>
      <c r="I11" s="588">
        <v>55.08</v>
      </c>
      <c r="J11" s="797">
        <v>27.218520000000002</v>
      </c>
      <c r="K11" s="589" t="s">
        <v>195</v>
      </c>
      <c r="L11" s="590">
        <f>IF(J12=0,"Waduk Kosong",)</f>
        <v>0</v>
      </c>
      <c r="M11" s="224"/>
      <c r="N11" s="231">
        <v>5</v>
      </c>
      <c r="O11" s="499">
        <v>557.70000000000005</v>
      </c>
      <c r="P11" s="496">
        <v>703.09</v>
      </c>
      <c r="Q11" s="496">
        <v>1050.08</v>
      </c>
      <c r="R11" s="238">
        <v>1240.8499999999999</v>
      </c>
      <c r="S11" s="496">
        <v>1278.74</v>
      </c>
      <c r="T11" s="496">
        <v>1293.1400000000001</v>
      </c>
      <c r="U11" s="238">
        <v>0</v>
      </c>
      <c r="V11" s="238">
        <v>0</v>
      </c>
      <c r="W11" s="238">
        <v>0</v>
      </c>
      <c r="X11" s="238">
        <v>0</v>
      </c>
      <c r="Y11" s="238">
        <v>0</v>
      </c>
      <c r="Z11" s="239">
        <v>0</v>
      </c>
      <c r="AB11" s="669">
        <v>5</v>
      </c>
      <c r="AC11" s="680">
        <v>402.33</v>
      </c>
      <c r="AD11" s="681">
        <v>616.53</v>
      </c>
      <c r="AE11" s="681">
        <v>0</v>
      </c>
      <c r="AF11" s="681">
        <v>0</v>
      </c>
      <c r="AG11" s="681">
        <v>0</v>
      </c>
      <c r="AH11" s="681">
        <v>0</v>
      </c>
      <c r="AI11" s="681">
        <v>0</v>
      </c>
      <c r="AJ11" s="681">
        <v>0</v>
      </c>
      <c r="AK11" s="681">
        <v>0</v>
      </c>
      <c r="AL11" s="681">
        <v>0</v>
      </c>
      <c r="AM11" s="681">
        <v>0</v>
      </c>
      <c r="AN11" s="682">
        <v>0</v>
      </c>
      <c r="AO11" s="676"/>
      <c r="AP11"/>
      <c r="AQ11"/>
      <c r="AR11"/>
      <c r="AS11"/>
      <c r="AT11"/>
      <c r="AU11"/>
      <c r="AV11"/>
      <c r="AW11"/>
      <c r="AX11"/>
      <c r="AY11"/>
      <c r="AZ11"/>
      <c r="BA11"/>
      <c r="BB11"/>
      <c r="BC11"/>
      <c r="BD11"/>
      <c r="BE11"/>
    </row>
    <row r="12" spans="2:57" ht="27" customHeight="1" thickBot="1" x14ac:dyDescent="0.25">
      <c r="B12" s="398">
        <f>+B11+1</f>
        <v>2</v>
      </c>
      <c r="C12" s="591" t="s">
        <v>29</v>
      </c>
      <c r="D12" s="591" t="s">
        <v>76</v>
      </c>
      <c r="E12" s="592">
        <v>339.5</v>
      </c>
      <c r="F12" s="593">
        <v>7.77</v>
      </c>
      <c r="G12" s="594">
        <v>338.7</v>
      </c>
      <c r="H12" s="595">
        <v>7.0949999999999998</v>
      </c>
      <c r="I12" s="594">
        <v>335.1</v>
      </c>
      <c r="J12" s="799">
        <v>4.0119999999999996</v>
      </c>
      <c r="K12" s="589" t="s">
        <v>196</v>
      </c>
      <c r="L12" s="590">
        <f>IF(J13=0,"Waduk Kosong",)</f>
        <v>0</v>
      </c>
      <c r="M12" s="224"/>
      <c r="N12" s="231">
        <v>6</v>
      </c>
      <c r="O12" s="499">
        <v>562.55999999999995</v>
      </c>
      <c r="P12" s="496">
        <v>729.55</v>
      </c>
      <c r="Q12" s="496">
        <v>1060.3699999999999</v>
      </c>
      <c r="R12" s="238">
        <v>1246.31</v>
      </c>
      <c r="S12" s="496">
        <v>1273.17</v>
      </c>
      <c r="T12" s="496">
        <v>1292.45</v>
      </c>
      <c r="U12" s="238">
        <v>0</v>
      </c>
      <c r="V12" s="238">
        <v>0</v>
      </c>
      <c r="W12" s="238">
        <v>0</v>
      </c>
      <c r="X12" s="238">
        <v>0</v>
      </c>
      <c r="Y12" s="238">
        <v>0</v>
      </c>
      <c r="Z12" s="239">
        <v>0</v>
      </c>
      <c r="AB12" s="670">
        <v>6</v>
      </c>
      <c r="AC12" s="680">
        <v>413.63</v>
      </c>
      <c r="AD12" s="681">
        <v>623.99</v>
      </c>
      <c r="AE12" s="681">
        <v>0</v>
      </c>
      <c r="AF12" s="681">
        <v>0</v>
      </c>
      <c r="AG12" s="681">
        <v>0</v>
      </c>
      <c r="AH12" s="681">
        <v>0</v>
      </c>
      <c r="AI12" s="681">
        <v>0</v>
      </c>
      <c r="AJ12" s="681">
        <v>0</v>
      </c>
      <c r="AK12" s="681">
        <v>0</v>
      </c>
      <c r="AL12" s="681">
        <v>0</v>
      </c>
      <c r="AM12" s="681">
        <v>0</v>
      </c>
      <c r="AN12" s="682">
        <v>0</v>
      </c>
      <c r="AO12" s="676"/>
      <c r="AP12"/>
      <c r="AQ12"/>
      <c r="AR12"/>
      <c r="AS12"/>
      <c r="AT12"/>
      <c r="AU12"/>
      <c r="AV12"/>
      <c r="AW12"/>
      <c r="AX12"/>
      <c r="AY12"/>
      <c r="AZ12"/>
      <c r="BA12"/>
      <c r="BB12"/>
      <c r="BC12"/>
      <c r="BD12"/>
      <c r="BE12"/>
    </row>
    <row r="13" spans="2:57" ht="27" customHeight="1" thickBot="1" x14ac:dyDescent="0.25">
      <c r="B13" s="398">
        <f t="shared" ref="B13:B47" si="0">+B12+1</f>
        <v>3</v>
      </c>
      <c r="C13" s="591" t="s">
        <v>30</v>
      </c>
      <c r="D13" s="591" t="s">
        <v>77</v>
      </c>
      <c r="E13" s="586">
        <v>77.5</v>
      </c>
      <c r="F13" s="587">
        <v>49.02</v>
      </c>
      <c r="G13" s="594">
        <v>74.11</v>
      </c>
      <c r="H13" s="595">
        <v>29.641932000000001</v>
      </c>
      <c r="I13" s="594">
        <v>77.78</v>
      </c>
      <c r="J13" s="799">
        <v>50.873069999999998</v>
      </c>
      <c r="K13" s="589" t="s">
        <v>30</v>
      </c>
      <c r="L13" s="590">
        <f>IF(J11=0,"Waduk Kosong",)</f>
        <v>0</v>
      </c>
      <c r="M13" s="224"/>
      <c r="N13" s="231">
        <v>7</v>
      </c>
      <c r="O13" s="499">
        <v>561.04999999999995</v>
      </c>
      <c r="P13" s="496">
        <v>739.07</v>
      </c>
      <c r="Q13" s="496">
        <v>1075.489</v>
      </c>
      <c r="R13" s="238">
        <v>1254.81</v>
      </c>
      <c r="S13" s="496">
        <v>1268</v>
      </c>
      <c r="T13" s="496">
        <v>1316.16</v>
      </c>
      <c r="U13" s="238">
        <v>0</v>
      </c>
      <c r="V13" s="238">
        <v>0</v>
      </c>
      <c r="W13" s="238">
        <v>0</v>
      </c>
      <c r="X13" s="238">
        <v>0</v>
      </c>
      <c r="Y13" s="238">
        <v>0</v>
      </c>
      <c r="Z13" s="239">
        <v>0</v>
      </c>
      <c r="AB13" s="669">
        <v>7</v>
      </c>
      <c r="AC13" s="680">
        <v>408.34</v>
      </c>
      <c r="AD13" s="681">
        <v>635.01</v>
      </c>
      <c r="AE13" s="681">
        <v>0</v>
      </c>
      <c r="AF13" s="681">
        <v>0</v>
      </c>
      <c r="AG13" s="681">
        <v>0</v>
      </c>
      <c r="AH13" s="681">
        <v>0</v>
      </c>
      <c r="AI13" s="681">
        <v>0</v>
      </c>
      <c r="AJ13" s="681">
        <v>0</v>
      </c>
      <c r="AK13" s="681">
        <v>0</v>
      </c>
      <c r="AL13" s="681">
        <v>0</v>
      </c>
      <c r="AM13" s="681">
        <v>0</v>
      </c>
      <c r="AN13" s="682">
        <v>0</v>
      </c>
      <c r="AO13" s="676"/>
      <c r="AP13"/>
      <c r="AQ13"/>
      <c r="AR13"/>
      <c r="AS13"/>
      <c r="AT13"/>
      <c r="AU13"/>
      <c r="AV13"/>
      <c r="AW13"/>
      <c r="AX13"/>
      <c r="AY13"/>
      <c r="AZ13"/>
      <c r="BA13"/>
      <c r="BB13"/>
      <c r="BC13"/>
      <c r="BD13"/>
      <c r="BE13"/>
    </row>
    <row r="14" spans="2:57" ht="27" customHeight="1" thickBot="1" x14ac:dyDescent="0.25">
      <c r="B14" s="398">
        <f t="shared" si="0"/>
        <v>4</v>
      </c>
      <c r="C14" s="591" t="s">
        <v>31</v>
      </c>
      <c r="D14" s="591" t="s">
        <v>78</v>
      </c>
      <c r="E14" s="586">
        <v>463.3</v>
      </c>
      <c r="F14" s="587">
        <v>49.9</v>
      </c>
      <c r="G14" s="596">
        <v>462.47</v>
      </c>
      <c r="H14" s="596">
        <v>37.220999999999997</v>
      </c>
      <c r="I14" s="587">
        <v>462.16</v>
      </c>
      <c r="J14" s="808">
        <v>31.63</v>
      </c>
      <c r="K14" s="589" t="s">
        <v>197</v>
      </c>
      <c r="L14" s="590">
        <f>IF(J14=0,"Waduk Kosong",)</f>
        <v>0</v>
      </c>
      <c r="M14" s="224"/>
      <c r="N14" s="231">
        <v>8</v>
      </c>
      <c r="O14" s="499">
        <v>559.37</v>
      </c>
      <c r="P14" s="496">
        <v>833.78</v>
      </c>
      <c r="Q14" s="496">
        <v>1085</v>
      </c>
      <c r="R14" s="238">
        <v>1253.69</v>
      </c>
      <c r="S14" s="496">
        <v>1268</v>
      </c>
      <c r="T14" s="496">
        <v>1305.77</v>
      </c>
      <c r="U14" s="238">
        <v>0</v>
      </c>
      <c r="V14" s="238">
        <v>0</v>
      </c>
      <c r="W14" s="238">
        <v>0</v>
      </c>
      <c r="X14" s="238">
        <v>0</v>
      </c>
      <c r="Y14" s="238">
        <v>0</v>
      </c>
      <c r="Z14" s="239">
        <v>0</v>
      </c>
      <c r="AB14" s="669">
        <v>8</v>
      </c>
      <c r="AC14" s="680">
        <v>411.25</v>
      </c>
      <c r="AD14" s="681">
        <v>642.96</v>
      </c>
      <c r="AE14" s="681">
        <v>0</v>
      </c>
      <c r="AF14" s="681">
        <v>0</v>
      </c>
      <c r="AG14" s="681">
        <v>0</v>
      </c>
      <c r="AH14" s="681">
        <v>0</v>
      </c>
      <c r="AI14" s="681">
        <v>0</v>
      </c>
      <c r="AJ14" s="681">
        <v>0</v>
      </c>
      <c r="AK14" s="681">
        <v>0</v>
      </c>
      <c r="AL14" s="681">
        <v>0</v>
      </c>
      <c r="AM14" s="681">
        <v>0</v>
      </c>
      <c r="AN14" s="682">
        <v>0</v>
      </c>
      <c r="AO14" s="676"/>
      <c r="AP14"/>
      <c r="AQ14"/>
      <c r="AR14"/>
      <c r="AS14"/>
      <c r="AT14"/>
      <c r="AU14"/>
      <c r="AV14"/>
      <c r="AW14"/>
      <c r="AX14"/>
      <c r="AY14"/>
      <c r="AZ14"/>
      <c r="BA14"/>
      <c r="BB14"/>
      <c r="BC14"/>
      <c r="BD14"/>
      <c r="BE14"/>
    </row>
    <row r="15" spans="2:57" ht="27" customHeight="1" thickBot="1" x14ac:dyDescent="0.25">
      <c r="B15" s="398">
        <f t="shared" si="0"/>
        <v>5</v>
      </c>
      <c r="C15" s="591" t="s">
        <v>32</v>
      </c>
      <c r="D15" s="591" t="s">
        <v>79</v>
      </c>
      <c r="E15" s="586">
        <v>207</v>
      </c>
      <c r="F15" s="587">
        <v>9.5030000000000001</v>
      </c>
      <c r="G15" s="654">
        <v>204.19</v>
      </c>
      <c r="H15" s="660">
        <v>6.4459999999999997</v>
      </c>
      <c r="I15" s="658">
        <v>203.07</v>
      </c>
      <c r="J15" s="891">
        <v>5.4569999999999999</v>
      </c>
      <c r="K15" s="589" t="s">
        <v>198</v>
      </c>
      <c r="L15" s="590">
        <f>IF(J15=0,"Waduk Kosong",)</f>
        <v>0</v>
      </c>
      <c r="N15" s="231">
        <v>9</v>
      </c>
      <c r="O15" s="499">
        <v>566.54999999999995</v>
      </c>
      <c r="P15" s="496">
        <v>855.28</v>
      </c>
      <c r="Q15" s="496">
        <v>1095</v>
      </c>
      <c r="R15" s="238">
        <v>1258.6099999999999</v>
      </c>
      <c r="S15" s="496">
        <v>1267.93</v>
      </c>
      <c r="T15" s="496">
        <v>1304.6500000000001</v>
      </c>
      <c r="U15" s="238">
        <v>0</v>
      </c>
      <c r="V15" s="238">
        <v>0</v>
      </c>
      <c r="W15" s="238">
        <v>0</v>
      </c>
      <c r="X15" s="238">
        <v>0</v>
      </c>
      <c r="Y15" s="238">
        <v>0</v>
      </c>
      <c r="Z15" s="239">
        <v>0</v>
      </c>
      <c r="AB15" s="669">
        <v>9</v>
      </c>
      <c r="AC15" s="680">
        <v>446.32</v>
      </c>
      <c r="AD15" s="681">
        <v>644.61</v>
      </c>
      <c r="AE15" s="681">
        <v>0</v>
      </c>
      <c r="AF15" s="681">
        <v>0</v>
      </c>
      <c r="AG15" s="681">
        <v>0</v>
      </c>
      <c r="AH15" s="681">
        <v>0</v>
      </c>
      <c r="AI15" s="681">
        <v>0</v>
      </c>
      <c r="AJ15" s="681">
        <v>0</v>
      </c>
      <c r="AK15" s="681">
        <v>0</v>
      </c>
      <c r="AL15" s="681">
        <v>0</v>
      </c>
      <c r="AM15" s="681">
        <v>0</v>
      </c>
      <c r="AN15" s="682">
        <v>0</v>
      </c>
      <c r="AO15" s="676"/>
      <c r="AP15"/>
      <c r="AQ15"/>
      <c r="AR15"/>
      <c r="AS15"/>
      <c r="AT15"/>
      <c r="AU15"/>
      <c r="AV15"/>
      <c r="AW15"/>
      <c r="AX15"/>
      <c r="AY15"/>
      <c r="AZ15"/>
      <c r="BA15"/>
      <c r="BB15"/>
      <c r="BC15"/>
      <c r="BD15"/>
      <c r="BE15"/>
    </row>
    <row r="16" spans="2:57" ht="27" customHeight="1" thickBot="1" x14ac:dyDescent="0.25">
      <c r="B16" s="398">
        <f t="shared" si="0"/>
        <v>6</v>
      </c>
      <c r="C16" s="591" t="s">
        <v>33</v>
      </c>
      <c r="D16" s="591" t="s">
        <v>79</v>
      </c>
      <c r="E16" s="586">
        <v>320</v>
      </c>
      <c r="F16" s="587">
        <v>5.1509999999999998</v>
      </c>
      <c r="G16" s="654">
        <v>315.45</v>
      </c>
      <c r="H16" s="655">
        <v>3.12</v>
      </c>
      <c r="I16" s="658">
        <v>314</v>
      </c>
      <c r="J16" s="891">
        <v>2.5459999999999998</v>
      </c>
      <c r="K16" s="589" t="s">
        <v>198</v>
      </c>
      <c r="L16" s="590">
        <f t="shared" ref="L16:L25" si="1">IF(J16=0,"Waduk Kosong",)</f>
        <v>0</v>
      </c>
      <c r="N16" s="231">
        <v>10</v>
      </c>
      <c r="O16" s="499">
        <v>570.04</v>
      </c>
      <c r="P16" s="496">
        <v>859.47</v>
      </c>
      <c r="Q16" s="496">
        <v>1105</v>
      </c>
      <c r="R16" s="238">
        <v>1262.04</v>
      </c>
      <c r="S16" s="496">
        <v>1265.22</v>
      </c>
      <c r="T16" s="496">
        <v>1309.69</v>
      </c>
      <c r="U16" s="238">
        <v>0</v>
      </c>
      <c r="V16" s="238">
        <v>0</v>
      </c>
      <c r="W16" s="238">
        <v>0</v>
      </c>
      <c r="X16" s="238">
        <v>0</v>
      </c>
      <c r="Y16" s="238">
        <v>0</v>
      </c>
      <c r="Z16" s="239">
        <v>0</v>
      </c>
      <c r="AB16" s="669">
        <v>10</v>
      </c>
      <c r="AC16" s="680">
        <v>457.01</v>
      </c>
      <c r="AD16" s="681">
        <v>646.84</v>
      </c>
      <c r="AE16" s="681">
        <v>0</v>
      </c>
      <c r="AF16" s="681">
        <v>0</v>
      </c>
      <c r="AG16" s="681">
        <v>0</v>
      </c>
      <c r="AH16" s="681">
        <v>0</v>
      </c>
      <c r="AI16" s="681">
        <v>0</v>
      </c>
      <c r="AJ16" s="681">
        <v>0</v>
      </c>
      <c r="AK16" s="681">
        <v>0</v>
      </c>
      <c r="AL16" s="681">
        <v>0</v>
      </c>
      <c r="AM16" s="681">
        <v>0</v>
      </c>
      <c r="AN16" s="682">
        <v>0</v>
      </c>
      <c r="AO16" s="676"/>
      <c r="AP16"/>
      <c r="AQ16"/>
      <c r="AR16"/>
      <c r="AS16"/>
      <c r="AT16"/>
      <c r="AU16"/>
      <c r="AV16"/>
      <c r="AW16"/>
      <c r="AX16"/>
      <c r="AY16"/>
      <c r="AZ16"/>
      <c r="BA16"/>
      <c r="BB16"/>
      <c r="BC16"/>
      <c r="BD16"/>
      <c r="BE16"/>
    </row>
    <row r="17" spans="2:57" ht="27" customHeight="1" thickBot="1" x14ac:dyDescent="0.25">
      <c r="B17" s="398">
        <f t="shared" si="0"/>
        <v>7</v>
      </c>
      <c r="C17" s="591" t="s">
        <v>34</v>
      </c>
      <c r="D17" s="591" t="s">
        <v>80</v>
      </c>
      <c r="E17" s="586">
        <v>90</v>
      </c>
      <c r="F17" s="587">
        <v>689.09100000000001</v>
      </c>
      <c r="G17" s="654">
        <v>83.91</v>
      </c>
      <c r="H17" s="655">
        <v>418.86200000000002</v>
      </c>
      <c r="I17" s="658">
        <v>77.09</v>
      </c>
      <c r="J17" s="891">
        <v>210.3578080498005</v>
      </c>
      <c r="K17" s="589" t="s">
        <v>199</v>
      </c>
      <c r="L17" s="590">
        <f t="shared" si="1"/>
        <v>0</v>
      </c>
      <c r="N17" s="231">
        <v>11</v>
      </c>
      <c r="O17" s="499">
        <v>574.88</v>
      </c>
      <c r="P17" s="496">
        <v>880.74</v>
      </c>
      <c r="Q17" s="496">
        <v>1108</v>
      </c>
      <c r="R17" s="238">
        <v>1267.72</v>
      </c>
      <c r="S17" s="496">
        <v>1264.0999999999999</v>
      </c>
      <c r="T17" s="496">
        <v>1313.39</v>
      </c>
      <c r="U17" s="238">
        <v>0</v>
      </c>
      <c r="V17" s="238">
        <v>0</v>
      </c>
      <c r="W17" s="238">
        <v>0</v>
      </c>
      <c r="X17" s="238">
        <v>0</v>
      </c>
      <c r="Y17" s="238">
        <v>0</v>
      </c>
      <c r="Z17" s="239">
        <v>0</v>
      </c>
      <c r="AB17" s="670">
        <v>11</v>
      </c>
      <c r="AC17" s="680">
        <v>467.11</v>
      </c>
      <c r="AD17" s="681">
        <v>649.76</v>
      </c>
      <c r="AE17" s="681">
        <v>0</v>
      </c>
      <c r="AF17" s="681">
        <v>0</v>
      </c>
      <c r="AG17" s="681">
        <v>0</v>
      </c>
      <c r="AH17" s="681">
        <v>0</v>
      </c>
      <c r="AI17" s="681">
        <v>0</v>
      </c>
      <c r="AJ17" s="681">
        <v>0</v>
      </c>
      <c r="AK17" s="681">
        <v>0</v>
      </c>
      <c r="AL17" s="681">
        <v>0</v>
      </c>
      <c r="AM17" s="681">
        <v>0</v>
      </c>
      <c r="AN17" s="682">
        <v>0</v>
      </c>
      <c r="AO17" s="676"/>
      <c r="AP17" s="363"/>
      <c r="AQ17"/>
      <c r="AR17"/>
      <c r="AS17"/>
      <c r="AT17"/>
      <c r="AU17"/>
      <c r="AV17"/>
      <c r="AW17"/>
      <c r="AX17"/>
      <c r="AY17"/>
      <c r="AZ17"/>
      <c r="BA17"/>
      <c r="BB17"/>
      <c r="BC17"/>
      <c r="BD17"/>
      <c r="BE17"/>
    </row>
    <row r="18" spans="2:57" ht="36" customHeight="1" thickBot="1" x14ac:dyDescent="0.25">
      <c r="B18" s="398">
        <f t="shared" si="0"/>
        <v>8</v>
      </c>
      <c r="C18" s="591" t="s">
        <v>35</v>
      </c>
      <c r="D18" s="591" t="s">
        <v>81</v>
      </c>
      <c r="E18" s="586">
        <v>120.5</v>
      </c>
      <c r="F18" s="587">
        <v>2.0920000000000001</v>
      </c>
      <c r="G18" s="654">
        <v>114.77</v>
      </c>
      <c r="H18" s="655">
        <v>0.81100000000000005</v>
      </c>
      <c r="I18" s="597">
        <v>115.93</v>
      </c>
      <c r="J18" s="892">
        <v>0.504</v>
      </c>
      <c r="K18" s="589" t="s">
        <v>200</v>
      </c>
      <c r="L18" s="590">
        <f>IF(J18=0,"Waduk Kosong",)</f>
        <v>0</v>
      </c>
      <c r="M18" s="355"/>
      <c r="N18" s="231">
        <v>12</v>
      </c>
      <c r="O18" s="499">
        <v>577.91</v>
      </c>
      <c r="P18" s="496">
        <v>907.96</v>
      </c>
      <c r="Q18" s="496">
        <v>1114</v>
      </c>
      <c r="R18" s="238">
        <v>1284.04</v>
      </c>
      <c r="S18" s="496">
        <v>1263.57</v>
      </c>
      <c r="T18" s="496">
        <v>1315.08</v>
      </c>
      <c r="U18" s="238">
        <v>0</v>
      </c>
      <c r="V18" s="238">
        <v>0</v>
      </c>
      <c r="W18" s="238">
        <v>0</v>
      </c>
      <c r="X18" s="238">
        <v>0</v>
      </c>
      <c r="Y18" s="238">
        <v>0</v>
      </c>
      <c r="Z18" s="239">
        <v>0</v>
      </c>
      <c r="AB18" s="669">
        <v>12</v>
      </c>
      <c r="AC18" s="680">
        <v>482.85</v>
      </c>
      <c r="AD18" s="681">
        <v>650.83000000000004</v>
      </c>
      <c r="AE18" s="681">
        <v>0</v>
      </c>
      <c r="AF18" s="681">
        <v>0</v>
      </c>
      <c r="AG18" s="681">
        <v>0</v>
      </c>
      <c r="AH18" s="681">
        <v>0</v>
      </c>
      <c r="AI18" s="681">
        <v>0</v>
      </c>
      <c r="AJ18" s="681">
        <v>0</v>
      </c>
      <c r="AK18" s="681">
        <v>0</v>
      </c>
      <c r="AL18" s="681">
        <v>0</v>
      </c>
      <c r="AM18" s="681">
        <v>0</v>
      </c>
      <c r="AN18" s="682">
        <v>0</v>
      </c>
      <c r="AO18" s="676"/>
      <c r="AP18" s="363"/>
      <c r="AQ18"/>
      <c r="AR18"/>
      <c r="AS18"/>
      <c r="AT18"/>
      <c r="AU18"/>
      <c r="AV18"/>
      <c r="AW18"/>
      <c r="AX18"/>
      <c r="AY18"/>
      <c r="AZ18"/>
      <c r="BA18"/>
      <c r="BB18"/>
      <c r="BC18"/>
      <c r="BD18"/>
      <c r="BE18"/>
    </row>
    <row r="19" spans="2:57" ht="27" customHeight="1" thickBot="1" x14ac:dyDescent="0.25">
      <c r="B19" s="398">
        <f t="shared" si="0"/>
        <v>9</v>
      </c>
      <c r="C19" s="591" t="s">
        <v>36</v>
      </c>
      <c r="D19" s="591" t="s">
        <v>81</v>
      </c>
      <c r="E19" s="586">
        <v>120.8</v>
      </c>
      <c r="F19" s="587">
        <v>2.3530000000000002</v>
      </c>
      <c r="G19" s="654">
        <v>116.54</v>
      </c>
      <c r="H19" s="661">
        <v>0.66100000000000003</v>
      </c>
      <c r="I19" s="658">
        <v>115.86</v>
      </c>
      <c r="J19" s="891">
        <v>0.23</v>
      </c>
      <c r="K19" s="589" t="s">
        <v>200</v>
      </c>
      <c r="L19" s="590">
        <f t="shared" si="1"/>
        <v>0</v>
      </c>
      <c r="M19" s="355"/>
      <c r="N19" s="231">
        <v>13</v>
      </c>
      <c r="O19" s="499">
        <v>582.61</v>
      </c>
      <c r="P19" s="496">
        <v>922.6</v>
      </c>
      <c r="Q19" s="496">
        <v>1123</v>
      </c>
      <c r="R19" s="238">
        <v>1284.04</v>
      </c>
      <c r="S19" s="496">
        <v>1262.28</v>
      </c>
      <c r="T19" s="496">
        <v>1314</v>
      </c>
      <c r="U19" s="238">
        <v>0</v>
      </c>
      <c r="V19" s="238">
        <v>0</v>
      </c>
      <c r="W19" s="238">
        <v>0</v>
      </c>
      <c r="X19" s="238">
        <v>0</v>
      </c>
      <c r="Y19" s="238">
        <v>0</v>
      </c>
      <c r="Z19" s="239">
        <v>0</v>
      </c>
      <c r="AB19" s="669">
        <v>13</v>
      </c>
      <c r="AC19" s="680">
        <v>493.13</v>
      </c>
      <c r="AD19" s="681">
        <v>640.70000000000005</v>
      </c>
      <c r="AE19" s="681">
        <v>0</v>
      </c>
      <c r="AF19" s="681">
        <v>0</v>
      </c>
      <c r="AG19" s="681">
        <v>0</v>
      </c>
      <c r="AH19" s="681">
        <v>0</v>
      </c>
      <c r="AI19" s="681">
        <v>0</v>
      </c>
      <c r="AJ19" s="681">
        <v>0</v>
      </c>
      <c r="AK19" s="681">
        <v>0</v>
      </c>
      <c r="AL19" s="681">
        <v>0</v>
      </c>
      <c r="AM19" s="681">
        <v>0</v>
      </c>
      <c r="AN19" s="682">
        <v>0</v>
      </c>
      <c r="AO19" s="676"/>
      <c r="AP19" s="363"/>
      <c r="AQ19"/>
      <c r="AR19"/>
      <c r="AS19"/>
      <c r="AT19"/>
      <c r="AU19"/>
      <c r="AV19"/>
      <c r="AW19"/>
      <c r="AX19"/>
      <c r="AY19"/>
      <c r="AZ19"/>
      <c r="BA19"/>
      <c r="BB19"/>
      <c r="BC19"/>
      <c r="BD19"/>
      <c r="BE19"/>
    </row>
    <row r="20" spans="2:57" ht="25.5" customHeight="1" thickBot="1" x14ac:dyDescent="0.25">
      <c r="B20" s="398">
        <f t="shared" si="0"/>
        <v>10</v>
      </c>
      <c r="C20" s="591" t="s">
        <v>37</v>
      </c>
      <c r="D20" s="591" t="s">
        <v>82</v>
      </c>
      <c r="E20" s="586">
        <v>46.5</v>
      </c>
      <c r="F20" s="586">
        <v>4.5999999999999996</v>
      </c>
      <c r="G20" s="654">
        <v>42.69</v>
      </c>
      <c r="H20" s="655">
        <v>1.8520000000000001</v>
      </c>
      <c r="I20" s="658">
        <v>40.64</v>
      </c>
      <c r="J20" s="891">
        <v>0.72799999999999998</v>
      </c>
      <c r="K20" s="589" t="s">
        <v>201</v>
      </c>
      <c r="L20" s="590">
        <f t="shared" si="1"/>
        <v>0</v>
      </c>
      <c r="M20" s="355"/>
      <c r="N20" s="231">
        <v>14</v>
      </c>
      <c r="O20" s="499">
        <v>589.73</v>
      </c>
      <c r="P20" s="496">
        <v>922.26</v>
      </c>
      <c r="Q20" s="496">
        <v>1129</v>
      </c>
      <c r="R20" s="238">
        <v>1288.8499999999999</v>
      </c>
      <c r="S20" s="496">
        <v>1259.4000000000001</v>
      </c>
      <c r="T20" s="496">
        <v>1311.49</v>
      </c>
      <c r="U20" s="238">
        <v>0</v>
      </c>
      <c r="V20" s="238">
        <v>0</v>
      </c>
      <c r="W20" s="238">
        <v>0</v>
      </c>
      <c r="X20" s="238">
        <v>0</v>
      </c>
      <c r="Y20" s="238">
        <v>0</v>
      </c>
      <c r="Z20" s="239">
        <v>0</v>
      </c>
      <c r="AB20" s="669">
        <v>14</v>
      </c>
      <c r="AC20" s="680">
        <v>493.92</v>
      </c>
      <c r="AD20" s="681">
        <v>651.95000000000005</v>
      </c>
      <c r="AE20" s="681">
        <v>0</v>
      </c>
      <c r="AF20" s="681">
        <v>0</v>
      </c>
      <c r="AG20" s="681">
        <v>0</v>
      </c>
      <c r="AH20" s="681">
        <v>0</v>
      </c>
      <c r="AI20" s="681">
        <v>0</v>
      </c>
      <c r="AJ20" s="681">
        <v>0</v>
      </c>
      <c r="AK20" s="681">
        <v>0</v>
      </c>
      <c r="AL20" s="681">
        <v>0</v>
      </c>
      <c r="AM20" s="681">
        <v>0</v>
      </c>
      <c r="AN20" s="682">
        <v>0</v>
      </c>
      <c r="AO20" s="676"/>
      <c r="AP20" s="363"/>
      <c r="AQ20"/>
      <c r="AR20"/>
      <c r="AS20"/>
      <c r="AT20"/>
      <c r="AU20"/>
      <c r="AV20"/>
      <c r="AW20"/>
      <c r="AX20"/>
      <c r="AY20"/>
      <c r="AZ20"/>
      <c r="BA20"/>
      <c r="BB20"/>
      <c r="BC20"/>
      <c r="BD20"/>
      <c r="BE20"/>
    </row>
    <row r="21" spans="2:57" ht="27" customHeight="1" thickBot="1" x14ac:dyDescent="0.25">
      <c r="B21" s="398">
        <f t="shared" si="0"/>
        <v>11</v>
      </c>
      <c r="C21" s="591" t="s">
        <v>39</v>
      </c>
      <c r="D21" s="591" t="s">
        <v>82</v>
      </c>
      <c r="E21" s="586">
        <v>51.5</v>
      </c>
      <c r="F21" s="587">
        <v>2.4159999999999999</v>
      </c>
      <c r="G21" s="654">
        <v>48.72</v>
      </c>
      <c r="H21" s="655">
        <v>1.472</v>
      </c>
      <c r="I21" s="659">
        <v>45.31</v>
      </c>
      <c r="J21" s="891">
        <v>0.55700000000000005</v>
      </c>
      <c r="K21" s="589" t="s">
        <v>202</v>
      </c>
      <c r="L21" s="590">
        <f t="shared" si="1"/>
        <v>0</v>
      </c>
      <c r="M21" s="355"/>
      <c r="N21" s="231">
        <v>15</v>
      </c>
      <c r="O21" s="499">
        <v>592.79999999999995</v>
      </c>
      <c r="P21" s="496">
        <v>914.08</v>
      </c>
      <c r="Q21" s="496">
        <v>1152.94</v>
      </c>
      <c r="R21" s="238">
        <v>1289.8499999999999</v>
      </c>
      <c r="S21" s="496">
        <v>1260.8599999999999</v>
      </c>
      <c r="T21" s="496">
        <v>1317</v>
      </c>
      <c r="U21" s="238">
        <v>0</v>
      </c>
      <c r="V21" s="238">
        <v>0</v>
      </c>
      <c r="W21" s="238">
        <v>0</v>
      </c>
      <c r="X21" s="238">
        <v>0</v>
      </c>
      <c r="Y21" s="238">
        <v>0</v>
      </c>
      <c r="Z21" s="239">
        <v>0</v>
      </c>
      <c r="AB21" s="669">
        <v>15</v>
      </c>
      <c r="AC21" s="680">
        <v>499.69</v>
      </c>
      <c r="AD21" s="681">
        <v>664.97</v>
      </c>
      <c r="AE21" s="681">
        <v>0</v>
      </c>
      <c r="AF21" s="681">
        <v>0</v>
      </c>
      <c r="AG21" s="681">
        <v>0</v>
      </c>
      <c r="AH21" s="681">
        <v>0</v>
      </c>
      <c r="AI21" s="681">
        <v>0</v>
      </c>
      <c r="AJ21" s="681">
        <v>0</v>
      </c>
      <c r="AK21" s="681">
        <v>0</v>
      </c>
      <c r="AL21" s="681">
        <v>0</v>
      </c>
      <c r="AM21" s="681">
        <v>0</v>
      </c>
      <c r="AN21" s="682">
        <v>0</v>
      </c>
      <c r="AO21" s="676"/>
      <c r="AP21" s="363"/>
      <c r="AQ21"/>
      <c r="AR21"/>
      <c r="AS21"/>
      <c r="AT21"/>
      <c r="AU21"/>
      <c r="AV21"/>
      <c r="AW21"/>
      <c r="AX21"/>
      <c r="AY21"/>
      <c r="AZ21"/>
      <c r="BA21"/>
      <c r="BB21"/>
      <c r="BC21"/>
      <c r="BD21"/>
      <c r="BE21"/>
    </row>
    <row r="22" spans="2:57" ht="27" customHeight="1" thickBot="1" x14ac:dyDescent="0.25">
      <c r="B22" s="398">
        <f t="shared" si="0"/>
        <v>12</v>
      </c>
      <c r="C22" s="591" t="s">
        <v>40</v>
      </c>
      <c r="D22" s="591" t="s">
        <v>80</v>
      </c>
      <c r="E22" s="586">
        <v>81</v>
      </c>
      <c r="F22" s="598">
        <v>1.093</v>
      </c>
      <c r="G22" s="654">
        <v>79.569999999999993</v>
      </c>
      <c r="H22" s="655">
        <v>0.86699999999999999</v>
      </c>
      <c r="I22" s="658">
        <v>74.42</v>
      </c>
      <c r="J22" s="891">
        <v>0.249</v>
      </c>
      <c r="K22" s="589" t="s">
        <v>200</v>
      </c>
      <c r="L22" s="590">
        <f t="shared" si="1"/>
        <v>0</v>
      </c>
      <c r="M22" s="355"/>
      <c r="N22" s="231">
        <v>16</v>
      </c>
      <c r="O22" s="499">
        <v>589.69000000000005</v>
      </c>
      <c r="P22" s="496">
        <v>922.32</v>
      </c>
      <c r="Q22" s="496">
        <v>1153</v>
      </c>
      <c r="R22" s="238">
        <v>1285.05</v>
      </c>
      <c r="S22" s="496">
        <v>1260.9100000000001</v>
      </c>
      <c r="T22" s="496">
        <v>1315.51</v>
      </c>
      <c r="U22" s="238">
        <v>0</v>
      </c>
      <c r="V22" s="238">
        <v>0</v>
      </c>
      <c r="W22" s="238">
        <v>0</v>
      </c>
      <c r="X22" s="238">
        <v>0</v>
      </c>
      <c r="Y22" s="238">
        <v>0</v>
      </c>
      <c r="Z22" s="239">
        <v>0</v>
      </c>
      <c r="AB22" s="670">
        <v>16</v>
      </c>
      <c r="AC22" s="680">
        <v>509.53</v>
      </c>
      <c r="AD22" s="681">
        <v>680.15</v>
      </c>
      <c r="AE22" s="681">
        <v>0</v>
      </c>
      <c r="AF22" s="681">
        <v>0</v>
      </c>
      <c r="AG22" s="681">
        <v>0</v>
      </c>
      <c r="AH22" s="681">
        <v>0</v>
      </c>
      <c r="AI22" s="681">
        <v>0</v>
      </c>
      <c r="AJ22" s="681">
        <v>0</v>
      </c>
      <c r="AK22" s="681">
        <v>0</v>
      </c>
      <c r="AL22" s="681">
        <v>0</v>
      </c>
      <c r="AM22" s="681">
        <v>0</v>
      </c>
      <c r="AN22" s="682">
        <v>0</v>
      </c>
      <c r="AO22" s="676"/>
      <c r="AP22" s="363"/>
      <c r="AQ22"/>
      <c r="AR22"/>
      <c r="AS22"/>
      <c r="AT22"/>
      <c r="AU22"/>
      <c r="AV22"/>
      <c r="AW22"/>
      <c r="AX22"/>
      <c r="AY22"/>
      <c r="AZ22"/>
      <c r="BA22"/>
      <c r="BB22"/>
      <c r="BC22"/>
      <c r="BD22"/>
      <c r="BE22"/>
    </row>
    <row r="23" spans="2:57" ht="27" customHeight="1" thickBot="1" x14ac:dyDescent="0.25">
      <c r="B23" s="398">
        <f t="shared" si="0"/>
        <v>13</v>
      </c>
      <c r="C23" s="591" t="s">
        <v>41</v>
      </c>
      <c r="D23" s="591" t="s">
        <v>80</v>
      </c>
      <c r="E23" s="586">
        <v>82.8</v>
      </c>
      <c r="F23" s="587">
        <v>0.42899999999999999</v>
      </c>
      <c r="G23" s="654">
        <v>82.68</v>
      </c>
      <c r="H23" s="655">
        <v>0.40899999999999997</v>
      </c>
      <c r="I23" s="658">
        <v>81.319999999999993</v>
      </c>
      <c r="J23" s="891">
        <v>0.22</v>
      </c>
      <c r="K23" s="589" t="s">
        <v>200</v>
      </c>
      <c r="L23" s="590">
        <f t="shared" si="1"/>
        <v>0</v>
      </c>
      <c r="N23" s="231">
        <v>17</v>
      </c>
      <c r="O23" s="499">
        <v>588.45000000000005</v>
      </c>
      <c r="P23" s="496">
        <v>930.6</v>
      </c>
      <c r="Q23" s="496">
        <v>1151.46</v>
      </c>
      <c r="R23" s="238">
        <v>1289.9000000000001</v>
      </c>
      <c r="S23" s="496">
        <v>1253</v>
      </c>
      <c r="T23" s="496">
        <v>1319.69</v>
      </c>
      <c r="U23" s="238">
        <v>0</v>
      </c>
      <c r="V23" s="238">
        <v>0</v>
      </c>
      <c r="W23" s="238">
        <v>0</v>
      </c>
      <c r="X23" s="238">
        <v>0</v>
      </c>
      <c r="Y23" s="238">
        <v>0</v>
      </c>
      <c r="Z23" s="239">
        <v>0</v>
      </c>
      <c r="AB23" s="669">
        <v>17</v>
      </c>
      <c r="AC23" s="680">
        <v>517.61</v>
      </c>
      <c r="AD23" s="681">
        <v>700.34</v>
      </c>
      <c r="AE23" s="681">
        <v>0</v>
      </c>
      <c r="AF23" s="681">
        <v>0</v>
      </c>
      <c r="AG23" s="681">
        <v>0</v>
      </c>
      <c r="AH23" s="681">
        <v>0</v>
      </c>
      <c r="AI23" s="681">
        <v>0</v>
      </c>
      <c r="AJ23" s="681">
        <v>0</v>
      </c>
      <c r="AK23" s="681">
        <v>0</v>
      </c>
      <c r="AL23" s="681">
        <v>0</v>
      </c>
      <c r="AM23" s="681">
        <v>0</v>
      </c>
      <c r="AN23" s="682">
        <v>0</v>
      </c>
      <c r="AO23" s="676"/>
      <c r="AP23" s="363"/>
      <c r="AQ23"/>
      <c r="AR23"/>
      <c r="AS23"/>
      <c r="AT23"/>
      <c r="AU23"/>
      <c r="AV23"/>
      <c r="AW23"/>
      <c r="AX23"/>
      <c r="AY23"/>
      <c r="AZ23"/>
      <c r="BA23"/>
      <c r="BB23"/>
      <c r="BC23"/>
      <c r="BD23"/>
      <c r="BE23"/>
    </row>
    <row r="24" spans="2:57" ht="27" customHeight="1" thickBot="1" x14ac:dyDescent="0.25">
      <c r="B24" s="398">
        <f t="shared" si="0"/>
        <v>14</v>
      </c>
      <c r="C24" s="591" t="s">
        <v>42</v>
      </c>
      <c r="D24" s="591" t="s">
        <v>80</v>
      </c>
      <c r="E24" s="586">
        <v>69.95</v>
      </c>
      <c r="F24" s="587">
        <v>0.25</v>
      </c>
      <c r="G24" s="654">
        <v>69.23</v>
      </c>
      <c r="H24" s="655">
        <v>0.15</v>
      </c>
      <c r="I24" s="658">
        <v>69.510000000000005</v>
      </c>
      <c r="J24" s="891">
        <v>0.124</v>
      </c>
      <c r="K24" s="589" t="s">
        <v>200</v>
      </c>
      <c r="L24" s="590">
        <f t="shared" si="1"/>
        <v>0</v>
      </c>
      <c r="N24" s="231">
        <v>18</v>
      </c>
      <c r="O24" s="499">
        <v>587.64</v>
      </c>
      <c r="P24" s="496">
        <v>936</v>
      </c>
      <c r="Q24" s="496">
        <v>1131.28</v>
      </c>
      <c r="R24" s="238">
        <v>1295.56</v>
      </c>
      <c r="S24" s="496">
        <v>1255</v>
      </c>
      <c r="T24" s="496">
        <v>1347.06</v>
      </c>
      <c r="U24" s="238">
        <v>0</v>
      </c>
      <c r="V24" s="238">
        <v>0</v>
      </c>
      <c r="W24" s="238">
        <v>0</v>
      </c>
      <c r="X24" s="238">
        <v>0</v>
      </c>
      <c r="Y24" s="238">
        <v>0</v>
      </c>
      <c r="Z24" s="239">
        <v>0</v>
      </c>
      <c r="AB24" s="669">
        <v>18</v>
      </c>
      <c r="AC24" s="680">
        <v>530.19000000000005</v>
      </c>
      <c r="AD24" s="681">
        <v>0</v>
      </c>
      <c r="AE24" s="681">
        <v>0</v>
      </c>
      <c r="AF24" s="681">
        <v>0</v>
      </c>
      <c r="AG24" s="681">
        <v>0</v>
      </c>
      <c r="AH24" s="681">
        <v>0</v>
      </c>
      <c r="AI24" s="681">
        <v>0</v>
      </c>
      <c r="AJ24" s="681">
        <v>0</v>
      </c>
      <c r="AK24" s="681">
        <v>0</v>
      </c>
      <c r="AL24" s="681">
        <v>0</v>
      </c>
      <c r="AM24" s="681">
        <v>0</v>
      </c>
      <c r="AN24" s="682">
        <v>0</v>
      </c>
      <c r="AO24" s="676"/>
      <c r="AP24" s="363"/>
      <c r="AQ24"/>
      <c r="AR24"/>
      <c r="AS24"/>
      <c r="AT24"/>
      <c r="AU24"/>
      <c r="AV24"/>
      <c r="AW24"/>
      <c r="AX24"/>
      <c r="AY24"/>
      <c r="AZ24"/>
      <c r="BA24"/>
      <c r="BB24"/>
      <c r="BC24"/>
      <c r="BD24"/>
      <c r="BE24"/>
    </row>
    <row r="25" spans="2:57" ht="27" customHeight="1" thickBot="1" x14ac:dyDescent="0.25">
      <c r="B25" s="398">
        <f t="shared" si="0"/>
        <v>15</v>
      </c>
      <c r="C25" s="591" t="s">
        <v>43</v>
      </c>
      <c r="D25" s="591" t="s">
        <v>80</v>
      </c>
      <c r="E25" s="586">
        <v>48.2</v>
      </c>
      <c r="F25" s="587">
        <v>0.38500000000000001</v>
      </c>
      <c r="G25" s="654">
        <v>45.77</v>
      </c>
      <c r="H25" s="655">
        <v>8.4000000000000005E-2</v>
      </c>
      <c r="I25" s="658">
        <v>46.56</v>
      </c>
      <c r="J25" s="891">
        <v>0.33</v>
      </c>
      <c r="K25" s="589" t="s">
        <v>200</v>
      </c>
      <c r="L25" s="590">
        <f t="shared" si="1"/>
        <v>0</v>
      </c>
      <c r="N25" s="231">
        <v>19</v>
      </c>
      <c r="O25" s="499">
        <v>606</v>
      </c>
      <c r="P25" s="496">
        <v>936.81</v>
      </c>
      <c r="Q25" s="496">
        <v>1125.47</v>
      </c>
      <c r="R25" s="238">
        <v>1295.17</v>
      </c>
      <c r="S25" s="496">
        <v>1256</v>
      </c>
      <c r="T25" s="496">
        <v>1343.11</v>
      </c>
      <c r="U25" s="238">
        <v>0</v>
      </c>
      <c r="V25" s="238">
        <v>0</v>
      </c>
      <c r="W25" s="238">
        <v>0</v>
      </c>
      <c r="X25" s="238">
        <v>0</v>
      </c>
      <c r="Y25" s="238">
        <v>0</v>
      </c>
      <c r="Z25" s="239">
        <v>0</v>
      </c>
      <c r="AB25" s="669">
        <v>19</v>
      </c>
      <c r="AC25" s="680">
        <v>534.07000000000005</v>
      </c>
      <c r="AD25" s="681">
        <v>0</v>
      </c>
      <c r="AE25" s="681">
        <v>0</v>
      </c>
      <c r="AF25" s="681">
        <v>0</v>
      </c>
      <c r="AG25" s="681">
        <v>0</v>
      </c>
      <c r="AH25" s="681">
        <v>0</v>
      </c>
      <c r="AI25" s="681">
        <v>0</v>
      </c>
      <c r="AJ25" s="681">
        <v>0</v>
      </c>
      <c r="AK25" s="681">
        <v>0</v>
      </c>
      <c r="AL25" s="681">
        <v>0</v>
      </c>
      <c r="AM25" s="681">
        <v>0</v>
      </c>
      <c r="AN25" s="682">
        <v>0</v>
      </c>
      <c r="AO25" s="676"/>
      <c r="AP25" s="363"/>
      <c r="AQ25"/>
      <c r="AR25"/>
      <c r="AS25"/>
      <c r="AT25"/>
      <c r="AU25"/>
      <c r="AV25"/>
      <c r="AW25"/>
      <c r="AX25"/>
      <c r="AY25"/>
      <c r="AZ25"/>
      <c r="BA25"/>
      <c r="BB25"/>
      <c r="BC25"/>
      <c r="BD25"/>
      <c r="BE25"/>
    </row>
    <row r="26" spans="2:57" ht="27" customHeight="1" thickBot="1" x14ac:dyDescent="0.25">
      <c r="B26" s="398">
        <f t="shared" si="0"/>
        <v>16</v>
      </c>
      <c r="C26" s="591" t="s">
        <v>83</v>
      </c>
      <c r="D26" s="591" t="s">
        <v>44</v>
      </c>
      <c r="E26" s="586">
        <v>136</v>
      </c>
      <c r="F26" s="587">
        <v>440</v>
      </c>
      <c r="G26" s="596">
        <v>132.68</v>
      </c>
      <c r="H26" s="596">
        <v>205.321</v>
      </c>
      <c r="I26" s="594">
        <v>129.72999999999999</v>
      </c>
      <c r="J26" s="803">
        <v>107.88200000000001</v>
      </c>
      <c r="K26" s="589" t="s">
        <v>203</v>
      </c>
      <c r="L26" s="590">
        <f>IF(J26=0,"Waduk Kosong",)</f>
        <v>0</v>
      </c>
      <c r="M26" s="224"/>
      <c r="N26" s="231">
        <v>20</v>
      </c>
      <c r="O26" s="499">
        <v>613.32000000000005</v>
      </c>
      <c r="P26" s="496">
        <v>933.25</v>
      </c>
      <c r="Q26" s="496">
        <v>1129.57</v>
      </c>
      <c r="R26" s="238">
        <v>1294.42</v>
      </c>
      <c r="S26" s="496">
        <v>1252</v>
      </c>
      <c r="T26" s="496">
        <v>1342.39</v>
      </c>
      <c r="U26" s="238">
        <v>0</v>
      </c>
      <c r="V26" s="238">
        <v>0</v>
      </c>
      <c r="W26" s="238">
        <v>0</v>
      </c>
      <c r="X26" s="238">
        <v>0</v>
      </c>
      <c r="Y26" s="238">
        <v>0</v>
      </c>
      <c r="Z26" s="239">
        <v>0</v>
      </c>
      <c r="AB26" s="669">
        <v>20</v>
      </c>
      <c r="AC26" s="680">
        <v>532.52</v>
      </c>
      <c r="AD26" s="681">
        <v>0</v>
      </c>
      <c r="AE26" s="681">
        <v>0</v>
      </c>
      <c r="AF26" s="681">
        <v>0</v>
      </c>
      <c r="AG26" s="681">
        <v>0</v>
      </c>
      <c r="AH26" s="681">
        <v>0</v>
      </c>
      <c r="AI26" s="681">
        <v>0</v>
      </c>
      <c r="AJ26" s="681">
        <v>0</v>
      </c>
      <c r="AK26" s="681">
        <v>0</v>
      </c>
      <c r="AL26" s="681">
        <v>0</v>
      </c>
      <c r="AM26" s="681">
        <v>0</v>
      </c>
      <c r="AN26" s="682">
        <v>0</v>
      </c>
      <c r="AO26" s="676"/>
      <c r="AP26" s="363"/>
      <c r="AQ26"/>
      <c r="AR26"/>
      <c r="AS26"/>
      <c r="AT26"/>
      <c r="AU26"/>
      <c r="AV26"/>
      <c r="AW26"/>
      <c r="AX26"/>
      <c r="AY26"/>
      <c r="AZ26"/>
      <c r="BA26"/>
      <c r="BB26"/>
      <c r="BC26"/>
      <c r="BD26"/>
      <c r="BE26"/>
    </row>
    <row r="27" spans="2:57" ht="27" customHeight="1" thickBot="1" x14ac:dyDescent="0.25">
      <c r="B27" s="398">
        <f t="shared" si="0"/>
        <v>17</v>
      </c>
      <c r="C27" s="591" t="s">
        <v>45</v>
      </c>
      <c r="D27" s="591" t="s">
        <v>44</v>
      </c>
      <c r="E27" s="586">
        <v>113.5</v>
      </c>
      <c r="F27" s="587">
        <v>3.7519999999999998</v>
      </c>
      <c r="G27" s="596">
        <v>109.52</v>
      </c>
      <c r="H27" s="596">
        <v>0.27100000000000002</v>
      </c>
      <c r="I27" s="599">
        <v>110.81</v>
      </c>
      <c r="J27" s="803">
        <v>0.33800000000000002</v>
      </c>
      <c r="K27" s="589" t="s">
        <v>203</v>
      </c>
      <c r="L27" s="590">
        <f>IF(J27=0,"Waduk Kosong",)</f>
        <v>0</v>
      </c>
      <c r="M27" s="224"/>
      <c r="N27" s="231">
        <v>21</v>
      </c>
      <c r="O27" s="499">
        <v>628.14</v>
      </c>
      <c r="P27" s="496">
        <v>938.68</v>
      </c>
      <c r="Q27" s="496">
        <v>1131.45</v>
      </c>
      <c r="R27" s="238">
        <v>1297.1400000000001</v>
      </c>
      <c r="S27" s="496">
        <v>1259</v>
      </c>
      <c r="T27" s="496">
        <v>0</v>
      </c>
      <c r="U27" s="238">
        <v>0</v>
      </c>
      <c r="V27" s="238">
        <v>0</v>
      </c>
      <c r="W27" s="238">
        <v>0</v>
      </c>
      <c r="X27" s="238">
        <v>0</v>
      </c>
      <c r="Y27" s="238">
        <v>0</v>
      </c>
      <c r="Z27" s="239">
        <v>0</v>
      </c>
      <c r="AB27" s="670">
        <v>21</v>
      </c>
      <c r="AC27" s="680">
        <v>539.97</v>
      </c>
      <c r="AD27" s="681">
        <v>0</v>
      </c>
      <c r="AE27" s="681">
        <v>0</v>
      </c>
      <c r="AF27" s="681">
        <v>0</v>
      </c>
      <c r="AG27" s="681">
        <v>0</v>
      </c>
      <c r="AH27" s="681">
        <v>0</v>
      </c>
      <c r="AI27" s="681">
        <v>0</v>
      </c>
      <c r="AJ27" s="681">
        <v>0</v>
      </c>
      <c r="AK27" s="681">
        <v>0</v>
      </c>
      <c r="AL27" s="681">
        <v>0</v>
      </c>
      <c r="AM27" s="681">
        <v>0</v>
      </c>
      <c r="AN27" s="682">
        <v>0</v>
      </c>
      <c r="AO27" s="676"/>
      <c r="AP27" s="363"/>
      <c r="AQ27"/>
      <c r="AR27"/>
      <c r="AS27"/>
      <c r="AT27"/>
      <c r="AU27"/>
      <c r="AV27"/>
      <c r="AW27"/>
      <c r="AX27"/>
      <c r="AY27"/>
      <c r="AZ27"/>
      <c r="BA27"/>
      <c r="BB27"/>
      <c r="BC27"/>
      <c r="BD27"/>
      <c r="BE27"/>
    </row>
    <row r="28" spans="2:57" ht="27" customHeight="1" thickBot="1" x14ac:dyDescent="0.25">
      <c r="B28" s="398">
        <f t="shared" si="0"/>
        <v>18</v>
      </c>
      <c r="C28" s="591" t="s">
        <v>46</v>
      </c>
      <c r="D28" s="591" t="s">
        <v>44</v>
      </c>
      <c r="E28" s="586">
        <v>225.4</v>
      </c>
      <c r="F28" s="586">
        <v>1.2</v>
      </c>
      <c r="G28" s="596">
        <v>202.5</v>
      </c>
      <c r="H28" s="596">
        <v>0.20599999999999999</v>
      </c>
      <c r="I28" s="594">
        <v>200.4</v>
      </c>
      <c r="J28" s="803">
        <v>0.06</v>
      </c>
      <c r="K28" s="589" t="s">
        <v>203</v>
      </c>
      <c r="L28" s="590">
        <f t="shared" ref="L28:L47" si="2">IF(J28=0,"Waduk Kosong",)</f>
        <v>0</v>
      </c>
      <c r="M28" s="224"/>
      <c r="N28" s="231">
        <v>22</v>
      </c>
      <c r="O28" s="499">
        <v>644.20000000000005</v>
      </c>
      <c r="P28" s="496">
        <v>937.36</v>
      </c>
      <c r="Q28" s="496">
        <v>1147</v>
      </c>
      <c r="R28" s="238">
        <v>1297.76</v>
      </c>
      <c r="S28" s="496">
        <v>1268</v>
      </c>
      <c r="T28" s="238">
        <v>0</v>
      </c>
      <c r="U28" s="238">
        <v>0</v>
      </c>
      <c r="V28" s="238">
        <v>0</v>
      </c>
      <c r="W28" s="238">
        <v>0</v>
      </c>
      <c r="X28" s="238">
        <v>0</v>
      </c>
      <c r="Y28" s="238">
        <v>0</v>
      </c>
      <c r="Z28" s="239">
        <v>0</v>
      </c>
      <c r="AB28" s="669">
        <v>22</v>
      </c>
      <c r="AC28" s="680">
        <v>543.92999999999995</v>
      </c>
      <c r="AD28" s="681">
        <v>0</v>
      </c>
      <c r="AE28" s="681">
        <v>0</v>
      </c>
      <c r="AF28" s="681">
        <v>0</v>
      </c>
      <c r="AG28" s="681">
        <v>0</v>
      </c>
      <c r="AH28" s="681">
        <v>0</v>
      </c>
      <c r="AI28" s="681">
        <v>0</v>
      </c>
      <c r="AJ28" s="681">
        <v>0</v>
      </c>
      <c r="AK28" s="681">
        <v>0</v>
      </c>
      <c r="AL28" s="681">
        <v>0</v>
      </c>
      <c r="AM28" s="681">
        <v>0</v>
      </c>
      <c r="AN28" s="682">
        <v>0</v>
      </c>
      <c r="AO28" s="676"/>
      <c r="AP28" s="363"/>
      <c r="AQ28"/>
      <c r="AR28"/>
      <c r="AS28"/>
      <c r="AT28"/>
      <c r="AU28"/>
      <c r="AV28"/>
      <c r="AW28"/>
      <c r="AX28"/>
      <c r="AY28"/>
      <c r="AZ28"/>
      <c r="BA28"/>
      <c r="BB28"/>
      <c r="BC28"/>
      <c r="BD28"/>
      <c r="BE28"/>
    </row>
    <row r="29" spans="2:57" ht="27" customHeight="1" thickBot="1" x14ac:dyDescent="0.25">
      <c r="B29" s="398">
        <f t="shared" si="0"/>
        <v>19</v>
      </c>
      <c r="C29" s="591" t="s">
        <v>47</v>
      </c>
      <c r="D29" s="591" t="s">
        <v>44</v>
      </c>
      <c r="E29" s="586">
        <v>224</v>
      </c>
      <c r="F29" s="587">
        <v>0.6</v>
      </c>
      <c r="G29" s="596">
        <v>222.5</v>
      </c>
      <c r="H29" s="596">
        <v>0.46200000000000002</v>
      </c>
      <c r="I29" s="599">
        <v>220.05</v>
      </c>
      <c r="J29" s="804">
        <v>0.28799999999999998</v>
      </c>
      <c r="K29" s="589" t="s">
        <v>203</v>
      </c>
      <c r="L29" s="600">
        <f t="shared" si="2"/>
        <v>0</v>
      </c>
      <c r="M29" s="224"/>
      <c r="N29" s="231">
        <v>23</v>
      </c>
      <c r="O29" s="499">
        <v>648.29</v>
      </c>
      <c r="P29" s="496">
        <v>945.95</v>
      </c>
      <c r="Q29" s="496">
        <v>1150</v>
      </c>
      <c r="R29" s="238">
        <v>1297.1099999999999</v>
      </c>
      <c r="S29" s="496">
        <v>1273</v>
      </c>
      <c r="T29" s="238">
        <v>0</v>
      </c>
      <c r="U29" s="238">
        <v>0</v>
      </c>
      <c r="V29" s="238">
        <v>0</v>
      </c>
      <c r="W29" s="238">
        <v>0</v>
      </c>
      <c r="X29" s="238">
        <v>0</v>
      </c>
      <c r="Y29" s="238">
        <v>0</v>
      </c>
      <c r="Z29" s="239">
        <v>0</v>
      </c>
      <c r="AB29" s="669">
        <v>23</v>
      </c>
      <c r="AC29" s="680">
        <v>546.55999999999995</v>
      </c>
      <c r="AD29" s="681">
        <v>0</v>
      </c>
      <c r="AE29" s="681">
        <v>0</v>
      </c>
      <c r="AF29" s="681">
        <v>0</v>
      </c>
      <c r="AG29" s="681">
        <v>0</v>
      </c>
      <c r="AH29" s="681">
        <v>0</v>
      </c>
      <c r="AI29" s="681">
        <v>0</v>
      </c>
      <c r="AJ29" s="681">
        <v>0</v>
      </c>
      <c r="AK29" s="681">
        <v>0</v>
      </c>
      <c r="AL29" s="681">
        <v>0</v>
      </c>
      <c r="AM29" s="681">
        <v>0</v>
      </c>
      <c r="AN29" s="682">
        <v>0</v>
      </c>
      <c r="AO29" s="676"/>
      <c r="AP29" s="363"/>
      <c r="AQ29"/>
      <c r="AR29"/>
      <c r="AS29"/>
      <c r="AT29" s="364"/>
      <c r="AU29"/>
      <c r="AV29"/>
      <c r="AW29"/>
      <c r="AX29"/>
      <c r="AY29"/>
      <c r="AZ29"/>
      <c r="BA29"/>
      <c r="BB29"/>
      <c r="BC29"/>
      <c r="BD29"/>
      <c r="BE29"/>
    </row>
    <row r="30" spans="2:57" ht="27" customHeight="1" thickBot="1" x14ac:dyDescent="0.25">
      <c r="B30" s="398">
        <f t="shared" si="0"/>
        <v>20</v>
      </c>
      <c r="C30" s="591" t="s">
        <v>48</v>
      </c>
      <c r="D30" s="591" t="s">
        <v>44</v>
      </c>
      <c r="E30" s="586">
        <v>196</v>
      </c>
      <c r="F30" s="587">
        <v>1.5820000000000001</v>
      </c>
      <c r="G30" s="596">
        <v>193.5</v>
      </c>
      <c r="H30" s="594">
        <v>0.19600000000000001</v>
      </c>
      <c r="I30" s="599">
        <v>196.02</v>
      </c>
      <c r="J30" s="803">
        <v>0.45600000000000002</v>
      </c>
      <c r="K30" s="589" t="s">
        <v>203</v>
      </c>
      <c r="L30" s="590">
        <f t="shared" si="2"/>
        <v>0</v>
      </c>
      <c r="M30" s="224"/>
      <c r="N30" s="231">
        <v>24</v>
      </c>
      <c r="O30" s="499">
        <v>651.52</v>
      </c>
      <c r="P30" s="496">
        <v>956.63</v>
      </c>
      <c r="Q30" s="496">
        <v>1160</v>
      </c>
      <c r="R30" s="238">
        <v>1296.8900000000001</v>
      </c>
      <c r="S30" s="496">
        <v>1268.77</v>
      </c>
      <c r="T30" s="238">
        <v>0</v>
      </c>
      <c r="U30" s="238">
        <v>0</v>
      </c>
      <c r="V30" s="238">
        <v>0</v>
      </c>
      <c r="W30" s="238">
        <v>0</v>
      </c>
      <c r="X30" s="238">
        <v>0</v>
      </c>
      <c r="Y30" s="238">
        <v>0</v>
      </c>
      <c r="Z30" s="239">
        <v>0</v>
      </c>
      <c r="AB30" s="669">
        <v>24</v>
      </c>
      <c r="AC30" s="680">
        <v>520.12</v>
      </c>
      <c r="AD30" s="681">
        <v>0</v>
      </c>
      <c r="AE30" s="681">
        <v>0</v>
      </c>
      <c r="AF30" s="681">
        <v>0</v>
      </c>
      <c r="AG30" s="681">
        <v>0</v>
      </c>
      <c r="AH30" s="681">
        <v>0</v>
      </c>
      <c r="AI30" s="681">
        <v>0</v>
      </c>
      <c r="AJ30" s="681">
        <v>0</v>
      </c>
      <c r="AK30" s="681">
        <v>0</v>
      </c>
      <c r="AL30" s="681">
        <v>0</v>
      </c>
      <c r="AM30" s="681">
        <v>0</v>
      </c>
      <c r="AN30" s="682">
        <v>0</v>
      </c>
      <c r="AO30" s="676"/>
      <c r="AP30" s="363"/>
      <c r="AQ30"/>
      <c r="AR30"/>
      <c r="AS30"/>
      <c r="AT30" s="364"/>
      <c r="AU30"/>
      <c r="AV30"/>
      <c r="AW30"/>
      <c r="AX30"/>
      <c r="AY30"/>
      <c r="AZ30"/>
      <c r="BA30"/>
      <c r="BB30"/>
      <c r="BC30"/>
      <c r="BD30"/>
      <c r="BE30"/>
    </row>
    <row r="31" spans="2:57" ht="27" customHeight="1" thickBot="1" x14ac:dyDescent="0.25">
      <c r="B31" s="398">
        <f t="shared" si="0"/>
        <v>21</v>
      </c>
      <c r="C31" s="591" t="s">
        <v>49</v>
      </c>
      <c r="D31" s="591" t="s">
        <v>44</v>
      </c>
      <c r="E31" s="586">
        <v>174</v>
      </c>
      <c r="F31" s="587">
        <v>0.47899999999999998</v>
      </c>
      <c r="G31" s="596">
        <v>170</v>
      </c>
      <c r="H31" s="596">
        <v>0.125</v>
      </c>
      <c r="I31" s="599">
        <v>169.28</v>
      </c>
      <c r="J31" s="803">
        <v>8.8999999999999996E-2</v>
      </c>
      <c r="K31" s="589" t="s">
        <v>203</v>
      </c>
      <c r="L31" s="600">
        <f t="shared" si="2"/>
        <v>0</v>
      </c>
      <c r="M31" s="224"/>
      <c r="N31" s="231">
        <v>25</v>
      </c>
      <c r="O31" s="499">
        <v>650.16999999999996</v>
      </c>
      <c r="P31" s="496">
        <v>970.67</v>
      </c>
      <c r="Q31" s="496">
        <v>1165</v>
      </c>
      <c r="R31" s="238">
        <v>1298.76</v>
      </c>
      <c r="S31" s="496">
        <v>1269.49</v>
      </c>
      <c r="T31" s="238">
        <v>0</v>
      </c>
      <c r="U31" s="238">
        <v>0</v>
      </c>
      <c r="V31" s="238">
        <v>0</v>
      </c>
      <c r="W31" s="238">
        <v>0</v>
      </c>
      <c r="X31" s="238">
        <v>0</v>
      </c>
      <c r="Y31" s="238">
        <v>0</v>
      </c>
      <c r="Z31" s="239">
        <v>0</v>
      </c>
      <c r="AB31" s="669">
        <v>25</v>
      </c>
      <c r="AC31" s="680">
        <v>553.91999999999996</v>
      </c>
      <c r="AD31" s="681">
        <v>0</v>
      </c>
      <c r="AE31" s="681">
        <v>0</v>
      </c>
      <c r="AF31" s="681">
        <v>0</v>
      </c>
      <c r="AG31" s="681">
        <v>0</v>
      </c>
      <c r="AH31" s="681">
        <v>0</v>
      </c>
      <c r="AI31" s="681">
        <v>0</v>
      </c>
      <c r="AJ31" s="681">
        <v>0</v>
      </c>
      <c r="AK31" s="681">
        <v>0</v>
      </c>
      <c r="AL31" s="681">
        <v>0</v>
      </c>
      <c r="AM31" s="681">
        <v>0</v>
      </c>
      <c r="AN31" s="682">
        <v>0</v>
      </c>
      <c r="AO31" s="676"/>
      <c r="AP31" s="363"/>
      <c r="AQ31"/>
      <c r="AR31"/>
      <c r="AS31"/>
      <c r="AT31" s="364"/>
      <c r="AU31"/>
      <c r="AV31"/>
      <c r="AW31"/>
      <c r="AX31"/>
      <c r="AY31"/>
      <c r="AZ31"/>
      <c r="BA31"/>
      <c r="BB31"/>
      <c r="BC31"/>
      <c r="BD31"/>
      <c r="BE31"/>
    </row>
    <row r="32" spans="2:57" ht="27" customHeight="1" thickBot="1" x14ac:dyDescent="0.25">
      <c r="B32" s="395">
        <f t="shared" si="0"/>
        <v>22</v>
      </c>
      <c r="C32" s="585" t="s">
        <v>50</v>
      </c>
      <c r="D32" s="585" t="s">
        <v>44</v>
      </c>
      <c r="E32" s="592">
        <v>229.1</v>
      </c>
      <c r="F32" s="593">
        <v>0.79200000000000004</v>
      </c>
      <c r="G32" s="601">
        <v>226.5</v>
      </c>
      <c r="H32" s="601">
        <v>0.57399999999999995</v>
      </c>
      <c r="I32" s="602">
        <v>218.67</v>
      </c>
      <c r="J32" s="805">
        <v>6.2E-2</v>
      </c>
      <c r="K32" s="589" t="s">
        <v>203</v>
      </c>
      <c r="L32" s="600">
        <f t="shared" si="2"/>
        <v>0</v>
      </c>
      <c r="M32" s="224"/>
      <c r="N32" s="231">
        <v>26</v>
      </c>
      <c r="O32" s="499">
        <v>661.43</v>
      </c>
      <c r="P32" s="496">
        <v>982.65</v>
      </c>
      <c r="Q32" s="496">
        <v>1177</v>
      </c>
      <c r="R32" s="238">
        <v>1295.3499999999999</v>
      </c>
      <c r="S32" s="496">
        <v>1269.8900000000001</v>
      </c>
      <c r="T32" s="238">
        <v>0</v>
      </c>
      <c r="U32" s="238">
        <v>0</v>
      </c>
      <c r="V32" s="238">
        <v>0</v>
      </c>
      <c r="W32" s="238">
        <v>0</v>
      </c>
      <c r="X32" s="238">
        <v>0</v>
      </c>
      <c r="Y32" s="238">
        <v>0</v>
      </c>
      <c r="Z32" s="239">
        <v>0</v>
      </c>
      <c r="AB32" s="670">
        <v>26</v>
      </c>
      <c r="AC32" s="680">
        <v>569.9</v>
      </c>
      <c r="AD32" s="681">
        <v>0</v>
      </c>
      <c r="AE32" s="681">
        <v>0</v>
      </c>
      <c r="AF32" s="681">
        <v>0</v>
      </c>
      <c r="AG32" s="681">
        <v>0</v>
      </c>
      <c r="AH32" s="681">
        <v>0</v>
      </c>
      <c r="AI32" s="681">
        <v>0</v>
      </c>
      <c r="AJ32" s="681">
        <v>0</v>
      </c>
      <c r="AK32" s="681">
        <v>0</v>
      </c>
      <c r="AL32" s="681">
        <v>0</v>
      </c>
      <c r="AM32" s="681">
        <v>0</v>
      </c>
      <c r="AN32" s="682">
        <v>0</v>
      </c>
      <c r="AO32" s="676"/>
      <c r="AP32" s="363"/>
      <c r="AQ32"/>
      <c r="AR32"/>
      <c r="AS32"/>
      <c r="AT32" s="364"/>
      <c r="AU32"/>
      <c r="AV32"/>
      <c r="AW32"/>
      <c r="AX32"/>
      <c r="AY32"/>
      <c r="AZ32"/>
      <c r="BA32"/>
      <c r="BB32"/>
      <c r="BC32"/>
      <c r="BD32"/>
      <c r="BE32"/>
    </row>
    <row r="33" spans="2:57" ht="27" customHeight="1" thickBot="1" x14ac:dyDescent="0.25">
      <c r="B33" s="398">
        <f t="shared" si="0"/>
        <v>23</v>
      </c>
      <c r="C33" s="591" t="s">
        <v>51</v>
      </c>
      <c r="D33" s="591" t="s">
        <v>44</v>
      </c>
      <c r="E33" s="586">
        <v>249</v>
      </c>
      <c r="F33" s="587">
        <v>2.1240000000000001</v>
      </c>
      <c r="G33" s="596">
        <v>241.63</v>
      </c>
      <c r="H33" s="596">
        <v>0.41599999999999998</v>
      </c>
      <c r="I33" s="599">
        <v>241.6</v>
      </c>
      <c r="J33" s="804">
        <v>0.41199999999999998</v>
      </c>
      <c r="K33" s="589" t="s">
        <v>203</v>
      </c>
      <c r="L33" s="600">
        <f t="shared" si="2"/>
        <v>0</v>
      </c>
      <c r="M33" s="224"/>
      <c r="N33" s="231">
        <v>27</v>
      </c>
      <c r="O33" s="499">
        <v>666.04</v>
      </c>
      <c r="P33" s="496">
        <v>998.34</v>
      </c>
      <c r="Q33" s="496">
        <v>1182</v>
      </c>
      <c r="R33" s="238">
        <v>1292.3699999999999</v>
      </c>
      <c r="S33" s="496">
        <v>1273.3</v>
      </c>
      <c r="T33" s="238">
        <v>0</v>
      </c>
      <c r="U33" s="238">
        <v>0</v>
      </c>
      <c r="V33" s="238">
        <v>0</v>
      </c>
      <c r="W33" s="238">
        <v>0</v>
      </c>
      <c r="X33" s="238">
        <v>0</v>
      </c>
      <c r="Y33" s="238">
        <v>0</v>
      </c>
      <c r="Z33" s="239">
        <v>0</v>
      </c>
      <c r="AB33" s="669">
        <v>27</v>
      </c>
      <c r="AC33" s="680">
        <v>578.73</v>
      </c>
      <c r="AD33" s="681">
        <v>0</v>
      </c>
      <c r="AE33" s="681">
        <v>0</v>
      </c>
      <c r="AF33" s="681">
        <v>0</v>
      </c>
      <c r="AG33" s="681">
        <v>0</v>
      </c>
      <c r="AH33" s="681">
        <v>0</v>
      </c>
      <c r="AI33" s="681">
        <v>0</v>
      </c>
      <c r="AJ33" s="681">
        <v>0</v>
      </c>
      <c r="AK33" s="681">
        <v>0</v>
      </c>
      <c r="AL33" s="681">
        <v>0</v>
      </c>
      <c r="AM33" s="681">
        <v>0</v>
      </c>
      <c r="AN33" s="682">
        <v>0</v>
      </c>
      <c r="AO33" s="676"/>
      <c r="AP33" s="363"/>
      <c r="AQ33"/>
      <c r="AR33"/>
      <c r="AS33"/>
      <c r="AT33" s="364"/>
      <c r="AU33"/>
      <c r="AV33"/>
      <c r="AW33"/>
      <c r="AX33"/>
      <c r="AY33"/>
      <c r="AZ33"/>
      <c r="BA33"/>
      <c r="BB33"/>
      <c r="BC33"/>
      <c r="BD33"/>
      <c r="BE33"/>
    </row>
    <row r="34" spans="2:57" ht="27" customHeight="1" thickBot="1" x14ac:dyDescent="0.25">
      <c r="B34" s="398">
        <f t="shared" si="0"/>
        <v>24</v>
      </c>
      <c r="C34" s="591" t="s">
        <v>52</v>
      </c>
      <c r="D34" s="591" t="s">
        <v>84</v>
      </c>
      <c r="E34" s="586">
        <v>164.75</v>
      </c>
      <c r="F34" s="586">
        <v>5</v>
      </c>
      <c r="G34" s="596">
        <v>145.69999999999999</v>
      </c>
      <c r="H34" s="596">
        <v>1.018</v>
      </c>
      <c r="I34" s="594">
        <v>146.82</v>
      </c>
      <c r="J34" s="804">
        <v>1.51</v>
      </c>
      <c r="K34" s="589" t="s">
        <v>203</v>
      </c>
      <c r="L34" s="600">
        <f t="shared" si="2"/>
        <v>0</v>
      </c>
      <c r="M34" s="224"/>
      <c r="N34" s="231">
        <v>28</v>
      </c>
      <c r="O34" s="499">
        <v>678.45</v>
      </c>
      <c r="P34" s="496">
        <v>1019.22</v>
      </c>
      <c r="Q34" s="496">
        <v>1187.53</v>
      </c>
      <c r="R34" s="238">
        <v>1289.74</v>
      </c>
      <c r="S34" s="496">
        <v>1276</v>
      </c>
      <c r="T34" s="238">
        <v>0</v>
      </c>
      <c r="U34" s="238">
        <v>0</v>
      </c>
      <c r="V34" s="238">
        <v>0</v>
      </c>
      <c r="W34" s="238">
        <v>0</v>
      </c>
      <c r="X34" s="238">
        <v>0</v>
      </c>
      <c r="Y34" s="238">
        <v>0</v>
      </c>
      <c r="Z34" s="239">
        <v>0</v>
      </c>
      <c r="AB34" s="669">
        <v>28</v>
      </c>
      <c r="AC34" s="680">
        <v>581.6</v>
      </c>
      <c r="AD34" s="681">
        <v>0</v>
      </c>
      <c r="AE34" s="681">
        <v>0</v>
      </c>
      <c r="AF34" s="681">
        <v>0</v>
      </c>
      <c r="AG34" s="681">
        <v>0</v>
      </c>
      <c r="AH34" s="681">
        <v>0</v>
      </c>
      <c r="AI34" s="681">
        <v>0</v>
      </c>
      <c r="AJ34" s="681">
        <v>0</v>
      </c>
      <c r="AK34" s="681">
        <v>0</v>
      </c>
      <c r="AL34" s="681">
        <v>0</v>
      </c>
      <c r="AM34" s="681">
        <v>0</v>
      </c>
      <c r="AN34" s="682">
        <v>0</v>
      </c>
      <c r="AO34" s="676"/>
      <c r="AP34" s="363"/>
      <c r="AQ34"/>
      <c r="AR34"/>
      <c r="AS34"/>
      <c r="AT34" s="364"/>
      <c r="AU34"/>
      <c r="AV34"/>
      <c r="AW34"/>
      <c r="AX34"/>
      <c r="AY34"/>
      <c r="AZ34"/>
      <c r="BA34"/>
      <c r="BB34"/>
      <c r="BC34"/>
      <c r="BD34"/>
      <c r="BE34"/>
    </row>
    <row r="35" spans="2:57" ht="27" customHeight="1" thickBot="1" x14ac:dyDescent="0.25">
      <c r="B35" s="398">
        <f t="shared" si="0"/>
        <v>25</v>
      </c>
      <c r="C35" s="591" t="s">
        <v>53</v>
      </c>
      <c r="D35" s="591" t="s">
        <v>84</v>
      </c>
      <c r="E35" s="586">
        <v>179.1</v>
      </c>
      <c r="F35" s="587">
        <v>4.2</v>
      </c>
      <c r="G35" s="603">
        <v>230.5</v>
      </c>
      <c r="H35" s="603">
        <v>2.2130000000000001</v>
      </c>
      <c r="I35" s="594">
        <v>232.27</v>
      </c>
      <c r="J35" s="803">
        <v>3.23</v>
      </c>
      <c r="K35" s="589" t="s">
        <v>203</v>
      </c>
      <c r="L35" s="600">
        <f t="shared" si="2"/>
        <v>0</v>
      </c>
      <c r="M35" s="224"/>
      <c r="N35" s="231">
        <v>29</v>
      </c>
      <c r="O35" s="499">
        <v>681.5</v>
      </c>
      <c r="P35" s="496">
        <v>1032.74</v>
      </c>
      <c r="Q35" s="496">
        <v>1187</v>
      </c>
      <c r="R35" s="238">
        <v>1295.45</v>
      </c>
      <c r="S35" s="496">
        <v>1272</v>
      </c>
      <c r="T35" s="238">
        <v>0</v>
      </c>
      <c r="U35" s="238">
        <v>0</v>
      </c>
      <c r="V35" s="238">
        <v>0</v>
      </c>
      <c r="W35" s="238">
        <v>0</v>
      </c>
      <c r="X35" s="238">
        <v>0</v>
      </c>
      <c r="Y35" s="238">
        <v>0</v>
      </c>
      <c r="Z35" s="239">
        <v>0</v>
      </c>
      <c r="AB35" s="669">
        <v>29</v>
      </c>
      <c r="AC35" s="680">
        <v>583.95000000000005</v>
      </c>
      <c r="AD35" s="683"/>
      <c r="AE35" s="681">
        <v>0</v>
      </c>
      <c r="AF35" s="681">
        <v>0</v>
      </c>
      <c r="AG35" s="681">
        <v>0</v>
      </c>
      <c r="AH35" s="681">
        <v>0</v>
      </c>
      <c r="AI35" s="681">
        <v>0</v>
      </c>
      <c r="AJ35" s="681">
        <v>0</v>
      </c>
      <c r="AK35" s="681">
        <v>0</v>
      </c>
      <c r="AL35" s="681">
        <v>0</v>
      </c>
      <c r="AM35" s="681">
        <v>0</v>
      </c>
      <c r="AN35" s="682">
        <v>0</v>
      </c>
      <c r="AO35" s="676"/>
      <c r="AP35" s="363"/>
      <c r="AQ35"/>
      <c r="AR35"/>
      <c r="AS35"/>
      <c r="AT35" s="364"/>
      <c r="AU35"/>
      <c r="AV35"/>
      <c r="AW35"/>
      <c r="AX35"/>
      <c r="AY35"/>
      <c r="AZ35"/>
      <c r="BA35"/>
      <c r="BB35"/>
      <c r="BC35"/>
      <c r="BD35"/>
      <c r="BE35"/>
    </row>
    <row r="36" spans="2:57" ht="27" customHeight="1" thickBot="1" x14ac:dyDescent="0.25">
      <c r="B36" s="398">
        <f t="shared" si="0"/>
        <v>26</v>
      </c>
      <c r="C36" s="591" t="s">
        <v>54</v>
      </c>
      <c r="D36" s="591" t="s">
        <v>85</v>
      </c>
      <c r="E36" s="586">
        <v>325.56</v>
      </c>
      <c r="F36" s="587">
        <v>0.70099999999999996</v>
      </c>
      <c r="G36" s="603">
        <v>323.5</v>
      </c>
      <c r="H36" s="603">
        <v>0.51800000000000002</v>
      </c>
      <c r="I36" s="599">
        <v>325.5</v>
      </c>
      <c r="J36" s="804">
        <v>0.69499999999999995</v>
      </c>
      <c r="K36" s="589" t="s">
        <v>203</v>
      </c>
      <c r="L36" s="590">
        <f t="shared" si="2"/>
        <v>0</v>
      </c>
      <c r="M36" s="224"/>
      <c r="N36" s="231">
        <v>30</v>
      </c>
      <c r="O36" s="499">
        <v>691.96</v>
      </c>
      <c r="P36" s="500"/>
      <c r="Q36" s="496">
        <v>1202.5999999999999</v>
      </c>
      <c r="R36" s="238">
        <v>1297.28</v>
      </c>
      <c r="S36" s="496">
        <v>1272</v>
      </c>
      <c r="T36" s="238">
        <v>0</v>
      </c>
      <c r="U36" s="238">
        <v>0</v>
      </c>
      <c r="V36" s="238">
        <v>0</v>
      </c>
      <c r="W36" s="238">
        <v>0</v>
      </c>
      <c r="X36" s="238">
        <v>0</v>
      </c>
      <c r="Y36" s="238">
        <v>0</v>
      </c>
      <c r="Z36" s="239">
        <v>0</v>
      </c>
      <c r="AB36" s="669">
        <v>30</v>
      </c>
      <c r="AC36" s="680">
        <v>586.62</v>
      </c>
      <c r="AD36" s="683"/>
      <c r="AE36" s="681">
        <v>0</v>
      </c>
      <c r="AF36" s="681">
        <v>0</v>
      </c>
      <c r="AG36" s="681">
        <v>0</v>
      </c>
      <c r="AH36" s="681">
        <v>0</v>
      </c>
      <c r="AI36" s="681">
        <v>0</v>
      </c>
      <c r="AJ36" s="681">
        <v>0</v>
      </c>
      <c r="AK36" s="681">
        <v>0</v>
      </c>
      <c r="AL36" s="681">
        <v>0</v>
      </c>
      <c r="AM36" s="681">
        <v>0</v>
      </c>
      <c r="AN36" s="682">
        <v>0</v>
      </c>
      <c r="AO36" s="676"/>
      <c r="AP36" s="363"/>
      <c r="AQ36"/>
      <c r="AR36"/>
      <c r="AS36"/>
      <c r="AT36" s="364"/>
      <c r="AU36"/>
      <c r="AV36"/>
      <c r="AW36"/>
      <c r="AX36"/>
      <c r="AY36"/>
      <c r="AZ36"/>
      <c r="BA36"/>
      <c r="BB36"/>
      <c r="BC36"/>
      <c r="BD36"/>
      <c r="BE36"/>
    </row>
    <row r="37" spans="2:57" ht="27" customHeight="1" thickBot="1" x14ac:dyDescent="0.25">
      <c r="B37" s="398">
        <f t="shared" si="0"/>
        <v>27</v>
      </c>
      <c r="C37" s="591" t="s">
        <v>55</v>
      </c>
      <c r="D37" s="591" t="s">
        <v>85</v>
      </c>
      <c r="E37" s="586">
        <v>129.19999999999999</v>
      </c>
      <c r="F37" s="587">
        <v>0.5</v>
      </c>
      <c r="G37" s="596">
        <v>126.56</v>
      </c>
      <c r="H37" s="596">
        <v>0.222</v>
      </c>
      <c r="I37" s="599">
        <v>129.19999999999999</v>
      </c>
      <c r="J37" s="803">
        <v>0.5</v>
      </c>
      <c r="K37" s="589" t="s">
        <v>203</v>
      </c>
      <c r="L37" s="590">
        <f t="shared" si="2"/>
        <v>0</v>
      </c>
      <c r="M37" s="224"/>
      <c r="N37" s="231">
        <v>31</v>
      </c>
      <c r="O37" s="499">
        <v>692.87</v>
      </c>
      <c r="P37" s="500"/>
      <c r="Q37" s="496">
        <v>1208.5</v>
      </c>
      <c r="R37" s="238"/>
      <c r="S37" s="496">
        <v>1281.28</v>
      </c>
      <c r="T37" s="238">
        <v>0</v>
      </c>
      <c r="U37" s="238">
        <v>0</v>
      </c>
      <c r="V37" s="238">
        <v>0</v>
      </c>
      <c r="W37" s="238">
        <v>0</v>
      </c>
      <c r="X37" s="238">
        <v>0</v>
      </c>
      <c r="Y37" s="238">
        <v>0</v>
      </c>
      <c r="Z37" s="239">
        <v>0</v>
      </c>
      <c r="AB37" s="669">
        <v>31</v>
      </c>
      <c r="AC37" s="680">
        <v>589.03</v>
      </c>
      <c r="AD37" s="683"/>
      <c r="AE37" s="681">
        <v>0</v>
      </c>
      <c r="AF37" s="683"/>
      <c r="AG37" s="681">
        <v>0</v>
      </c>
      <c r="AH37" s="683"/>
      <c r="AI37" s="681">
        <v>0</v>
      </c>
      <c r="AJ37" s="681">
        <v>0</v>
      </c>
      <c r="AK37" s="683"/>
      <c r="AL37" s="681">
        <v>0</v>
      </c>
      <c r="AM37" s="683"/>
      <c r="AN37" s="682">
        <v>0</v>
      </c>
      <c r="AO37" s="676"/>
      <c r="AP37" s="363"/>
      <c r="AQ37"/>
      <c r="AR37"/>
      <c r="AS37"/>
      <c r="AT37" s="364"/>
      <c r="AU37"/>
      <c r="AV37"/>
      <c r="AW37"/>
      <c r="AX37"/>
      <c r="AY37"/>
      <c r="AZ37"/>
      <c r="BA37"/>
      <c r="BB37"/>
      <c r="BC37"/>
      <c r="BD37"/>
      <c r="BE37"/>
    </row>
    <row r="38" spans="2:57" ht="27" customHeight="1" thickBot="1" x14ac:dyDescent="0.25">
      <c r="B38" s="398">
        <f t="shared" si="0"/>
        <v>28</v>
      </c>
      <c r="C38" s="591" t="s">
        <v>56</v>
      </c>
      <c r="D38" s="591" t="s">
        <v>85</v>
      </c>
      <c r="E38" s="586">
        <v>282.77999999999997</v>
      </c>
      <c r="F38" s="587">
        <v>0.51300000000000001</v>
      </c>
      <c r="G38" s="596">
        <v>279.64999999999998</v>
      </c>
      <c r="H38" s="596">
        <v>0.17699999999999999</v>
      </c>
      <c r="I38" s="594">
        <v>282.77999999999997</v>
      </c>
      <c r="J38" s="803">
        <v>0.51300000000000001</v>
      </c>
      <c r="K38" s="589" t="s">
        <v>203</v>
      </c>
      <c r="L38" s="590">
        <f t="shared" si="2"/>
        <v>0</v>
      </c>
      <c r="M38" s="224"/>
      <c r="N38" s="234"/>
      <c r="O38" s="501"/>
      <c r="P38" s="497"/>
      <c r="Q38" s="497"/>
      <c r="R38" s="241"/>
      <c r="S38" s="497"/>
      <c r="T38" s="240"/>
      <c r="U38" s="241"/>
      <c r="V38" s="241"/>
      <c r="W38" s="241"/>
      <c r="X38" s="241"/>
      <c r="Y38" s="241"/>
      <c r="Z38" s="239">
        <v>0</v>
      </c>
      <c r="AB38" s="684"/>
      <c r="AC38" s="685"/>
      <c r="AD38" s="686"/>
      <c r="AE38" s="686"/>
      <c r="AF38" s="686"/>
      <c r="AG38" s="686"/>
      <c r="AH38" s="686"/>
      <c r="AI38" s="686"/>
      <c r="AJ38" s="686"/>
      <c r="AK38" s="686"/>
      <c r="AL38" s="686"/>
      <c r="AM38" s="686"/>
      <c r="AN38" s="687"/>
      <c r="AO38" s="676"/>
      <c r="AP38" s="363"/>
      <c r="AQ38"/>
      <c r="AR38"/>
      <c r="AS38"/>
      <c r="AT38" s="364"/>
      <c r="AU38"/>
      <c r="AV38"/>
      <c r="AW38"/>
      <c r="AX38"/>
      <c r="AY38"/>
      <c r="AZ38"/>
      <c r="BA38"/>
      <c r="BB38"/>
      <c r="BC38"/>
      <c r="BD38"/>
      <c r="BE38"/>
    </row>
    <row r="39" spans="2:57" ht="27" customHeight="1" x14ac:dyDescent="0.2">
      <c r="B39" s="398">
        <f t="shared" si="0"/>
        <v>29</v>
      </c>
      <c r="C39" s="591" t="s">
        <v>57</v>
      </c>
      <c r="D39" s="591" t="s">
        <v>85</v>
      </c>
      <c r="E39" s="586">
        <v>99</v>
      </c>
      <c r="F39" s="587">
        <v>2.6110000000000002</v>
      </c>
      <c r="G39" s="596">
        <v>98</v>
      </c>
      <c r="H39" s="596">
        <v>0.78700000000000003</v>
      </c>
      <c r="I39" s="599">
        <v>97.2</v>
      </c>
      <c r="J39" s="804">
        <v>0.61599999999999999</v>
      </c>
      <c r="K39" s="589" t="s">
        <v>203</v>
      </c>
      <c r="L39" s="590">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71" t="s">
        <v>145</v>
      </c>
      <c r="AC39" s="688">
        <f>IF(AC43&gt;$BV$62,"tad",IF(AC45&gt;$BV$62,"tad",MAX(AC7:AC37)))</f>
        <v>589.03</v>
      </c>
      <c r="AD39" s="689">
        <f>IF(AD43&gt;$BV$62,"tad",IF(AD45&gt;$BV$62,"tad",MAX(AD7:AD37)))</f>
        <v>700.34</v>
      </c>
      <c r="AE39" s="690">
        <f>IF(AE43&gt;$BV$62,"tad",IF(AE45&gt;$BV$62,"tad",MAX(AE7:AE37)))</f>
        <v>0</v>
      </c>
      <c r="AF39" s="690">
        <f t="shared" ref="AF39:AN40" si="4">IF(AF43&gt;$BV$62,"tad",IF(AF45&gt;$BV$62,"tad",MAX(AF7:AF37)))</f>
        <v>0</v>
      </c>
      <c r="AG39" s="690">
        <f t="shared" si="4"/>
        <v>0</v>
      </c>
      <c r="AH39" s="690">
        <f t="shared" si="4"/>
        <v>0</v>
      </c>
      <c r="AI39" s="690">
        <f t="shared" si="4"/>
        <v>0</v>
      </c>
      <c r="AJ39" s="690">
        <f t="shared" si="4"/>
        <v>0</v>
      </c>
      <c r="AK39" s="690">
        <f t="shared" si="4"/>
        <v>0</v>
      </c>
      <c r="AL39" s="690">
        <f t="shared" si="4"/>
        <v>0</v>
      </c>
      <c r="AM39" s="690">
        <f t="shared" si="4"/>
        <v>0</v>
      </c>
      <c r="AN39" s="691">
        <f t="shared" si="4"/>
        <v>0</v>
      </c>
      <c r="AO39" s="676"/>
      <c r="AP39" s="363"/>
      <c r="AQ39"/>
      <c r="AR39"/>
      <c r="AS39"/>
      <c r="AT39" s="364"/>
      <c r="AU39"/>
      <c r="AV39"/>
      <c r="AW39"/>
      <c r="AX39"/>
      <c r="AY39"/>
      <c r="AZ39"/>
      <c r="BA39"/>
      <c r="BB39"/>
      <c r="BC39"/>
      <c r="BD39"/>
      <c r="BE39"/>
    </row>
    <row r="40" spans="2:57" ht="27" customHeight="1" x14ac:dyDescent="0.2">
      <c r="B40" s="398">
        <f t="shared" si="0"/>
        <v>30</v>
      </c>
      <c r="C40" s="591" t="s">
        <v>58</v>
      </c>
      <c r="D40" s="591" t="s">
        <v>85</v>
      </c>
      <c r="E40" s="586">
        <v>189.7</v>
      </c>
      <c r="F40" s="586">
        <v>7.9000000000000001E-2</v>
      </c>
      <c r="G40" s="596">
        <v>189</v>
      </c>
      <c r="H40" s="596">
        <v>5.8999999999999997E-2</v>
      </c>
      <c r="I40" s="599">
        <v>189.17</v>
      </c>
      <c r="J40" s="804">
        <v>6.7000000000000004E-2</v>
      </c>
      <c r="K40" s="589" t="s">
        <v>203</v>
      </c>
      <c r="L40" s="590">
        <f t="shared" si="2"/>
        <v>0</v>
      </c>
      <c r="M40" s="727"/>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692" t="s">
        <v>146</v>
      </c>
      <c r="AC40" s="693">
        <f t="shared" ref="AC40:AM40" si="6">IF(AC43&gt;$BV$62,"tad",IF(AC45&gt;$BV$62,"tad",AVERAGE(AC7:AC37)))</f>
        <v>491.63709677419359</v>
      </c>
      <c r="AD40" s="694">
        <f t="shared" si="6"/>
        <v>387.79785714285708</v>
      </c>
      <c r="AE40" s="694">
        <f>IF(AE43&gt;$BV$62,"tad",IF(AE45&gt;$BV$62,"tad",AVERAGE(AE7:AE37)))</f>
        <v>0</v>
      </c>
      <c r="AF40" s="695">
        <f t="shared" si="6"/>
        <v>0</v>
      </c>
      <c r="AG40" s="695">
        <f t="shared" si="6"/>
        <v>0</v>
      </c>
      <c r="AH40" s="695">
        <f t="shared" si="6"/>
        <v>0</v>
      </c>
      <c r="AI40" s="695">
        <f t="shared" si="6"/>
        <v>0</v>
      </c>
      <c r="AJ40" s="695">
        <f t="shared" si="6"/>
        <v>0</v>
      </c>
      <c r="AK40" s="695">
        <f t="shared" si="6"/>
        <v>0</v>
      </c>
      <c r="AL40" s="695">
        <f t="shared" si="6"/>
        <v>0</v>
      </c>
      <c r="AM40" s="695">
        <f t="shared" si="6"/>
        <v>0</v>
      </c>
      <c r="AN40" s="696">
        <f t="shared" si="4"/>
        <v>0</v>
      </c>
      <c r="AO40" s="676"/>
      <c r="AP40" s="363"/>
      <c r="AQ40"/>
      <c r="AR40"/>
      <c r="AS40"/>
      <c r="AT40" s="364"/>
      <c r="AU40"/>
      <c r="AV40"/>
      <c r="AW40"/>
      <c r="AX40"/>
      <c r="AY40"/>
      <c r="AZ40"/>
      <c r="BA40"/>
      <c r="BB40"/>
      <c r="BC40"/>
      <c r="BD40"/>
      <c r="BE40"/>
    </row>
    <row r="41" spans="2:57" ht="27" customHeight="1" thickBot="1" x14ac:dyDescent="0.25">
      <c r="B41" s="398">
        <f t="shared" si="0"/>
        <v>31</v>
      </c>
      <c r="C41" s="591" t="s">
        <v>59</v>
      </c>
      <c r="D41" s="591" t="s">
        <v>85</v>
      </c>
      <c r="E41" s="586">
        <v>171.19</v>
      </c>
      <c r="F41" s="587">
        <v>9.6879999999999994E-2</v>
      </c>
      <c r="G41" s="596">
        <v>170.27</v>
      </c>
      <c r="H41" s="604">
        <v>7.3999999999999996E-2</v>
      </c>
      <c r="I41" s="599">
        <v>171.45</v>
      </c>
      <c r="J41" s="804">
        <v>0.10299999999999999</v>
      </c>
      <c r="K41" s="589" t="s">
        <v>203</v>
      </c>
      <c r="L41" s="590">
        <f t="shared" si="2"/>
        <v>0</v>
      </c>
      <c r="M41" s="727"/>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697" t="s">
        <v>147</v>
      </c>
      <c r="AC41" s="698">
        <f t="shared" ref="AC41:AN41" si="8">IF(AC43&gt;$BV$62,"tad",IF(AC45&gt;$BV$62,"tad",MIN(AC7:AC37)))</f>
        <v>338.45</v>
      </c>
      <c r="AD41" s="699">
        <f t="shared" si="8"/>
        <v>0</v>
      </c>
      <c r="AE41" s="699">
        <f t="shared" si="8"/>
        <v>0</v>
      </c>
      <c r="AF41" s="700">
        <f t="shared" si="8"/>
        <v>0</v>
      </c>
      <c r="AG41" s="700">
        <f t="shared" si="8"/>
        <v>0</v>
      </c>
      <c r="AH41" s="700">
        <f t="shared" si="8"/>
        <v>0</v>
      </c>
      <c r="AI41" s="700">
        <f t="shared" si="8"/>
        <v>0</v>
      </c>
      <c r="AJ41" s="700">
        <f t="shared" si="8"/>
        <v>0</v>
      </c>
      <c r="AK41" s="700">
        <f t="shared" si="8"/>
        <v>0</v>
      </c>
      <c r="AL41" s="700">
        <f t="shared" si="8"/>
        <v>0</v>
      </c>
      <c r="AM41" s="700">
        <f t="shared" si="8"/>
        <v>0</v>
      </c>
      <c r="AN41" s="701">
        <f t="shared" si="8"/>
        <v>0</v>
      </c>
      <c r="AO41" s="676"/>
      <c r="AP41" s="363"/>
      <c r="AQ41"/>
      <c r="AR41"/>
      <c r="AS41"/>
      <c r="AT41" s="364"/>
      <c r="AU41"/>
      <c r="AV41"/>
      <c r="AW41"/>
      <c r="AX41"/>
      <c r="AY41"/>
      <c r="AZ41"/>
      <c r="BA41"/>
      <c r="BB41"/>
      <c r="BC41"/>
      <c r="BD41"/>
      <c r="BE41"/>
    </row>
    <row r="42" spans="2:57" ht="27" customHeight="1" x14ac:dyDescent="0.2">
      <c r="B42" s="398">
        <f t="shared" si="0"/>
        <v>32</v>
      </c>
      <c r="C42" s="591" t="s">
        <v>60</v>
      </c>
      <c r="D42" s="591" t="s">
        <v>86</v>
      </c>
      <c r="E42" s="586">
        <v>142.6</v>
      </c>
      <c r="F42" s="587">
        <v>9.157</v>
      </c>
      <c r="G42" s="596">
        <v>151.47</v>
      </c>
      <c r="H42" s="596">
        <v>4.984</v>
      </c>
      <c r="I42" s="594">
        <v>151.16999999999999</v>
      </c>
      <c r="J42" s="806">
        <v>4.32</v>
      </c>
      <c r="K42" s="589" t="s">
        <v>203</v>
      </c>
      <c r="L42" s="590">
        <f t="shared" si="2"/>
        <v>0</v>
      </c>
      <c r="M42" s="727"/>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71" t="s">
        <v>148</v>
      </c>
      <c r="AC42" s="688">
        <f t="shared" ref="AC42:AN42" si="10">IF(AC43&gt;$BV$62,"tad",AVERAGE(AC7:AC21))</f>
        <v>428.16666666666669</v>
      </c>
      <c r="AD42" s="689">
        <f t="shared" si="10"/>
        <v>631.85666666666657</v>
      </c>
      <c r="AE42" s="689">
        <f t="shared" si="10"/>
        <v>0</v>
      </c>
      <c r="AF42" s="690">
        <f t="shared" si="10"/>
        <v>0</v>
      </c>
      <c r="AG42" s="690">
        <f t="shared" si="10"/>
        <v>0</v>
      </c>
      <c r="AH42" s="690">
        <f t="shared" si="10"/>
        <v>0</v>
      </c>
      <c r="AI42" s="690">
        <f t="shared" si="10"/>
        <v>0</v>
      </c>
      <c r="AJ42" s="690">
        <f t="shared" si="10"/>
        <v>0</v>
      </c>
      <c r="AK42" s="690">
        <f t="shared" si="10"/>
        <v>0</v>
      </c>
      <c r="AL42" s="690">
        <f t="shared" si="10"/>
        <v>0</v>
      </c>
      <c r="AM42" s="690">
        <f t="shared" si="10"/>
        <v>0</v>
      </c>
      <c r="AN42" s="691">
        <f t="shared" si="10"/>
        <v>0</v>
      </c>
      <c r="AO42" s="676"/>
      <c r="AP42" s="363"/>
      <c r="AQ42"/>
      <c r="AR42"/>
      <c r="AS42"/>
      <c r="AT42" s="364"/>
      <c r="AU42"/>
      <c r="AV42"/>
      <c r="AW42"/>
      <c r="AX42"/>
      <c r="AY42"/>
      <c r="AZ42"/>
      <c r="BA42"/>
      <c r="BB42"/>
      <c r="BC42"/>
      <c r="BD42"/>
      <c r="BE42"/>
    </row>
    <row r="43" spans="2:57" ht="27" customHeight="1" thickBot="1" x14ac:dyDescent="0.25">
      <c r="B43" s="398">
        <f t="shared" si="0"/>
        <v>33</v>
      </c>
      <c r="C43" s="591" t="s">
        <v>61</v>
      </c>
      <c r="D43" s="591" t="s">
        <v>86</v>
      </c>
      <c r="E43" s="586">
        <v>239.5</v>
      </c>
      <c r="F43" s="587">
        <v>2.6720000000000002</v>
      </c>
      <c r="G43" s="596">
        <v>239.7</v>
      </c>
      <c r="H43" s="604">
        <v>2.8559999999999999</v>
      </c>
      <c r="I43" s="594">
        <v>236.71</v>
      </c>
      <c r="J43" s="806">
        <v>1.2629999999999999</v>
      </c>
      <c r="K43" s="589" t="s">
        <v>203</v>
      </c>
      <c r="L43" s="590">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75" t="s">
        <v>149</v>
      </c>
      <c r="AC43" s="698">
        <f t="shared" ref="AC43:AN43" si="11">IF(AR52&gt;0,AR52,0)</f>
        <v>0</v>
      </c>
      <c r="AD43" s="699">
        <f>IF(AS52&gt;0,AS52,0)</f>
        <v>0</v>
      </c>
      <c r="AE43" s="699">
        <f t="shared" si="11"/>
        <v>0</v>
      </c>
      <c r="AF43" s="699">
        <f t="shared" si="11"/>
        <v>0</v>
      </c>
      <c r="AG43" s="699">
        <f t="shared" si="11"/>
        <v>0</v>
      </c>
      <c r="AH43" s="699">
        <f t="shared" si="11"/>
        <v>0</v>
      </c>
      <c r="AI43" s="699">
        <f t="shared" si="11"/>
        <v>0</v>
      </c>
      <c r="AJ43" s="699">
        <f t="shared" si="11"/>
        <v>0</v>
      </c>
      <c r="AK43" s="699">
        <f t="shared" si="11"/>
        <v>0</v>
      </c>
      <c r="AL43" s="699">
        <f t="shared" si="11"/>
        <v>0</v>
      </c>
      <c r="AM43" s="699">
        <f t="shared" si="11"/>
        <v>0</v>
      </c>
      <c r="AN43" s="702">
        <f t="shared" si="11"/>
        <v>0</v>
      </c>
      <c r="AO43" s="676"/>
      <c r="AP43" s="363"/>
      <c r="AQ43"/>
      <c r="AR43"/>
      <c r="AS43"/>
      <c r="AT43" s="364"/>
      <c r="AU43"/>
      <c r="AV43"/>
      <c r="AW43"/>
      <c r="AX43"/>
      <c r="AY43"/>
      <c r="AZ43"/>
      <c r="BA43"/>
      <c r="BB43"/>
      <c r="BC43"/>
      <c r="BD43"/>
      <c r="BE43"/>
    </row>
    <row r="44" spans="2:57" ht="27" customHeight="1" x14ac:dyDescent="0.2">
      <c r="B44" s="398">
        <f t="shared" si="0"/>
        <v>34</v>
      </c>
      <c r="C44" s="591" t="s">
        <v>62</v>
      </c>
      <c r="D44" s="591" t="s">
        <v>87</v>
      </c>
      <c r="E44" s="586">
        <v>120.5</v>
      </c>
      <c r="F44" s="587">
        <v>3.677</v>
      </c>
      <c r="G44" s="596">
        <v>118.75</v>
      </c>
      <c r="H44" s="596">
        <v>0.83</v>
      </c>
      <c r="I44" s="594">
        <v>120.75</v>
      </c>
      <c r="J44" s="803">
        <v>4.1539999999999999</v>
      </c>
      <c r="K44" s="589" t="s">
        <v>203</v>
      </c>
      <c r="L44" s="590">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71" t="s">
        <v>150</v>
      </c>
      <c r="AC44" s="688">
        <f>IF(AC45&gt;$BV$62,"tad",AVERAGE(AC22:AC37))</f>
        <v>551.140625</v>
      </c>
      <c r="AD44" s="689">
        <f t="shared" ref="AD44:AN44" si="13">IF(AD45&gt;$BV$62,"tad",AVERAGE(AD22:AD37))</f>
        <v>106.19153846153846</v>
      </c>
      <c r="AE44" s="689">
        <f t="shared" si="13"/>
        <v>0</v>
      </c>
      <c r="AF44" s="689">
        <f t="shared" si="13"/>
        <v>0</v>
      </c>
      <c r="AG44" s="689">
        <f t="shared" si="13"/>
        <v>0</v>
      </c>
      <c r="AH44" s="689">
        <f t="shared" si="13"/>
        <v>0</v>
      </c>
      <c r="AI44" s="689">
        <f t="shared" si="13"/>
        <v>0</v>
      </c>
      <c r="AJ44" s="689">
        <f t="shared" si="13"/>
        <v>0</v>
      </c>
      <c r="AK44" s="689">
        <f t="shared" si="13"/>
        <v>0</v>
      </c>
      <c r="AL44" s="689">
        <f t="shared" si="13"/>
        <v>0</v>
      </c>
      <c r="AM44" s="689">
        <f t="shared" si="13"/>
        <v>0</v>
      </c>
      <c r="AN44" s="703">
        <f t="shared" si="13"/>
        <v>0</v>
      </c>
      <c r="AO44" s="676"/>
      <c r="AP44" s="363"/>
      <c r="AQ44"/>
      <c r="AR44"/>
      <c r="AS44"/>
      <c r="AT44" s="364"/>
      <c r="AU44"/>
      <c r="AV44"/>
      <c r="AW44"/>
      <c r="AX44"/>
      <c r="AY44"/>
      <c r="AZ44"/>
      <c r="BA44"/>
      <c r="BB44"/>
      <c r="BC44"/>
      <c r="BD44"/>
      <c r="BE44"/>
    </row>
    <row r="45" spans="2:57" ht="27" customHeight="1" thickBot="1" x14ac:dyDescent="0.25">
      <c r="B45" s="398">
        <f t="shared" si="0"/>
        <v>35</v>
      </c>
      <c r="C45" s="591" t="s">
        <v>63</v>
      </c>
      <c r="D45" s="591" t="s">
        <v>88</v>
      </c>
      <c r="E45" s="586">
        <v>110.56</v>
      </c>
      <c r="F45" s="587">
        <v>2.75</v>
      </c>
      <c r="G45" s="596">
        <v>109.6</v>
      </c>
      <c r="H45" s="596">
        <v>1.393</v>
      </c>
      <c r="I45" s="594">
        <v>109.62</v>
      </c>
      <c r="J45" s="803">
        <v>1.41</v>
      </c>
      <c r="K45" s="589" t="s">
        <v>203</v>
      </c>
      <c r="L45" s="590">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75" t="s">
        <v>149</v>
      </c>
      <c r="AC45" s="698">
        <f t="shared" ref="AC45:AN45" si="14">IF(AR58&gt;0,AR58,0)</f>
        <v>0</v>
      </c>
      <c r="AD45" s="699">
        <f t="shared" si="14"/>
        <v>0</v>
      </c>
      <c r="AE45" s="699">
        <f t="shared" si="14"/>
        <v>0</v>
      </c>
      <c r="AF45" s="699">
        <f t="shared" si="14"/>
        <v>0</v>
      </c>
      <c r="AG45" s="699">
        <f t="shared" si="14"/>
        <v>0</v>
      </c>
      <c r="AH45" s="699">
        <f t="shared" si="14"/>
        <v>0</v>
      </c>
      <c r="AI45" s="699">
        <f t="shared" si="14"/>
        <v>0</v>
      </c>
      <c r="AJ45" s="699">
        <f t="shared" si="14"/>
        <v>0</v>
      </c>
      <c r="AK45" s="699">
        <f t="shared" si="14"/>
        <v>0</v>
      </c>
      <c r="AL45" s="699">
        <f t="shared" si="14"/>
        <v>0</v>
      </c>
      <c r="AM45" s="699">
        <f t="shared" si="14"/>
        <v>0</v>
      </c>
      <c r="AN45" s="702">
        <f t="shared" si="14"/>
        <v>0</v>
      </c>
      <c r="AO45" s="676"/>
      <c r="AP45" s="363"/>
      <c r="AQ45"/>
      <c r="AR45"/>
      <c r="AS45"/>
      <c r="AT45" s="318"/>
      <c r="AU45"/>
      <c r="AV45"/>
      <c r="AW45"/>
      <c r="AX45"/>
      <c r="AY45"/>
      <c r="AZ45"/>
      <c r="BA45"/>
      <c r="BB45"/>
      <c r="BC45"/>
      <c r="BD45"/>
      <c r="BE45"/>
    </row>
    <row r="46" spans="2:57" ht="27" customHeight="1" thickBot="1" x14ac:dyDescent="0.25">
      <c r="B46" s="398">
        <v>36</v>
      </c>
      <c r="C46" s="591" t="s">
        <v>64</v>
      </c>
      <c r="D46" s="591" t="s">
        <v>89</v>
      </c>
      <c r="E46" s="586">
        <v>72</v>
      </c>
      <c r="F46" s="587">
        <v>38.036000000000001</v>
      </c>
      <c r="G46" s="586">
        <v>65.599999999999994</v>
      </c>
      <c r="H46" s="587">
        <v>24.260999999999999</v>
      </c>
      <c r="I46" s="594">
        <v>64.77</v>
      </c>
      <c r="J46" s="806">
        <v>22.792999999999999</v>
      </c>
      <c r="K46" s="589" t="s">
        <v>64</v>
      </c>
      <c r="L46" s="590">
        <f t="shared" si="2"/>
        <v>0</v>
      </c>
      <c r="M46" s="224"/>
      <c r="O46" s="225"/>
      <c r="P46" s="225"/>
      <c r="Q46" s="225"/>
      <c r="R46" s="220"/>
      <c r="S46" s="225"/>
      <c r="T46" s="225"/>
      <c r="U46" s="225"/>
      <c r="V46" s="225"/>
      <c r="W46" s="225"/>
      <c r="X46" s="225"/>
      <c r="Y46" s="225"/>
      <c r="Z46" s="225"/>
      <c r="AB46" s="676"/>
      <c r="AC46" s="704"/>
      <c r="AD46" s="704"/>
      <c r="AE46" s="704"/>
      <c r="AF46" s="705"/>
      <c r="AG46" s="704"/>
      <c r="AH46" s="704"/>
      <c r="AI46" s="704"/>
      <c r="AJ46" s="704"/>
      <c r="AK46" s="704"/>
      <c r="AL46" s="704"/>
      <c r="AM46" s="704"/>
      <c r="AN46" s="704"/>
      <c r="AO46" s="676"/>
      <c r="AP46" s="363"/>
      <c r="AQ46"/>
      <c r="AR46"/>
      <c r="AS46"/>
      <c r="AT46" s="318"/>
      <c r="AU46"/>
      <c r="AV46"/>
      <c r="AW46"/>
      <c r="AX46"/>
      <c r="AY46"/>
      <c r="AZ46"/>
      <c r="BA46"/>
      <c r="BB46"/>
      <c r="BC46"/>
      <c r="BD46"/>
      <c r="BE46"/>
    </row>
    <row r="47" spans="2:57" ht="27" customHeight="1" x14ac:dyDescent="0.2">
      <c r="B47" s="398">
        <f t="shared" si="0"/>
        <v>37</v>
      </c>
      <c r="C47" s="591" t="s">
        <v>65</v>
      </c>
      <c r="D47" s="591" t="s">
        <v>89</v>
      </c>
      <c r="E47" s="586">
        <v>185</v>
      </c>
      <c r="F47" s="587">
        <v>388.72199999999998</v>
      </c>
      <c r="G47" s="594">
        <v>169.5</v>
      </c>
      <c r="H47" s="595">
        <v>238.97900000000001</v>
      </c>
      <c r="I47" s="594">
        <v>163.44999999999999</v>
      </c>
      <c r="J47" s="806">
        <v>187.37100000000001</v>
      </c>
      <c r="K47" s="589" t="s">
        <v>204</v>
      </c>
      <c r="L47" s="590">
        <f t="shared" si="2"/>
        <v>0</v>
      </c>
      <c r="M47" s="224"/>
      <c r="AB47" s="706"/>
      <c r="AC47" s="707"/>
      <c r="AD47" s="707"/>
      <c r="AE47" s="707"/>
      <c r="AF47" s="707"/>
      <c r="AG47" s="707"/>
      <c r="AH47" s="707"/>
      <c r="AI47" s="707"/>
      <c r="AJ47" s="707"/>
      <c r="AK47" s="707"/>
      <c r="AL47" s="707"/>
      <c r="AM47" s="707"/>
      <c r="AN47" s="707"/>
      <c r="AO47" s="708"/>
      <c r="AP47" s="363"/>
      <c r="AQ47"/>
      <c r="AR47"/>
      <c r="AS47"/>
      <c r="AT47"/>
      <c r="AU47"/>
      <c r="AV47"/>
      <c r="AW47"/>
      <c r="AX47"/>
      <c r="AY47"/>
      <c r="AZ47"/>
      <c r="BA47"/>
      <c r="BB47"/>
      <c r="BC47"/>
      <c r="BD47"/>
      <c r="BE47"/>
    </row>
    <row r="48" spans="2:57" ht="27" customHeight="1" x14ac:dyDescent="0.2">
      <c r="B48" s="398">
        <v>38</v>
      </c>
      <c r="C48" s="591" t="s">
        <v>66</v>
      </c>
      <c r="D48" s="591" t="s">
        <v>90</v>
      </c>
      <c r="E48" s="586">
        <v>231</v>
      </c>
      <c r="F48" s="587">
        <v>23.24</v>
      </c>
      <c r="G48" s="594">
        <v>227.73</v>
      </c>
      <c r="H48" s="595">
        <v>3.6030000000000002</v>
      </c>
      <c r="I48" s="594">
        <v>230.48</v>
      </c>
      <c r="J48" s="806">
        <v>15.532999999999999</v>
      </c>
      <c r="K48" s="589" t="s">
        <v>205</v>
      </c>
      <c r="L48" s="590">
        <f>IF(J48=0,"Waduk Kosong",)</f>
        <v>0</v>
      </c>
      <c r="M48" s="521"/>
      <c r="N48" s="520"/>
      <c r="AB48" s="826" t="s">
        <v>307</v>
      </c>
      <c r="AC48" s="827"/>
      <c r="AD48" s="827"/>
      <c r="AE48" s="827"/>
      <c r="AF48" s="827"/>
      <c r="AG48" s="827"/>
      <c r="AH48" s="827"/>
      <c r="AI48" s="827"/>
      <c r="AJ48" s="827"/>
      <c r="AK48" s="827"/>
      <c r="AL48" s="827"/>
      <c r="AM48" s="827"/>
      <c r="AN48" s="827"/>
      <c r="AO48" s="709"/>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85" t="s">
        <v>230</v>
      </c>
      <c r="D49" s="585" t="s">
        <v>78</v>
      </c>
      <c r="E49" s="592">
        <v>149.30000000000001</v>
      </c>
      <c r="F49" s="593">
        <v>17.670000000000002</v>
      </c>
      <c r="G49" s="592">
        <v>145.91999999999999</v>
      </c>
      <c r="H49" s="593">
        <v>7.64</v>
      </c>
      <c r="I49" s="592">
        <v>149.12899999999999</v>
      </c>
      <c r="J49" s="809">
        <v>10.74</v>
      </c>
      <c r="K49" s="589" t="s">
        <v>233</v>
      </c>
      <c r="L49" s="590">
        <f>IF(J49=0,"Waduk Kosong",)</f>
        <v>0</v>
      </c>
      <c r="M49" s="224"/>
      <c r="AB49" s="710"/>
      <c r="AC49" s="711"/>
      <c r="AD49" s="711"/>
      <c r="AE49" s="711"/>
      <c r="AF49" s="711"/>
      <c r="AG49" s="711"/>
      <c r="AH49" s="711"/>
      <c r="AI49" s="711"/>
      <c r="AJ49" s="711"/>
      <c r="AK49" s="711"/>
      <c r="AL49" s="711"/>
      <c r="AM49" s="711"/>
      <c r="AN49" s="711"/>
      <c r="AO49" s="709"/>
      <c r="AP49" s="365">
        <f>MAX(AC7:AN37)</f>
        <v>700.34</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591" t="s">
        <v>231</v>
      </c>
      <c r="D50" s="591" t="s">
        <v>82</v>
      </c>
      <c r="E50" s="586">
        <v>39</v>
      </c>
      <c r="F50" s="587">
        <v>0.47399999999999998</v>
      </c>
      <c r="G50" s="586">
        <v>38.549999999999997</v>
      </c>
      <c r="H50" s="587">
        <v>0.34</v>
      </c>
      <c r="I50" s="656">
        <v>35.24</v>
      </c>
      <c r="J50" s="889">
        <v>0.14299999999999999</v>
      </c>
      <c r="K50" s="589"/>
      <c r="L50" s="590">
        <f>IF(J50=0,"Waduk Kosong",)</f>
        <v>0</v>
      </c>
      <c r="M50" s="224"/>
      <c r="AB50" s="710"/>
      <c r="AC50" s="711"/>
      <c r="AD50" s="711"/>
      <c r="AE50" s="711"/>
      <c r="AF50" s="711"/>
      <c r="AG50" s="711"/>
      <c r="AH50" s="711"/>
      <c r="AI50" s="711"/>
      <c r="AJ50" s="711"/>
      <c r="AK50" s="711"/>
      <c r="AL50" s="711"/>
      <c r="AM50" s="711"/>
      <c r="AN50" s="711"/>
      <c r="AO50" s="709"/>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05" t="s">
        <v>232</v>
      </c>
      <c r="D51" s="605" t="s">
        <v>82</v>
      </c>
      <c r="E51" s="606">
        <v>70</v>
      </c>
      <c r="F51" s="607">
        <v>0.81699999999999995</v>
      </c>
      <c r="G51" s="606">
        <v>69.900000000000006</v>
      </c>
      <c r="H51" s="607">
        <v>0.8</v>
      </c>
      <c r="I51" s="657">
        <v>70.05</v>
      </c>
      <c r="J51" s="890">
        <v>0.752</v>
      </c>
      <c r="K51" s="589"/>
      <c r="L51" s="725">
        <f>IF(J51=0,"Waduk Kosong",)</f>
        <v>0</v>
      </c>
      <c r="M51" s="224"/>
      <c r="AB51" s="710"/>
      <c r="AC51" s="711"/>
      <c r="AD51" s="711"/>
      <c r="AE51" s="711"/>
      <c r="AF51" s="711"/>
      <c r="AG51" s="711"/>
      <c r="AH51" s="711"/>
      <c r="AI51" s="711"/>
      <c r="AJ51" s="711"/>
      <c r="AK51" s="711"/>
      <c r="AL51" s="711"/>
      <c r="AM51" s="711"/>
      <c r="AN51" s="711"/>
      <c r="AO51" s="709"/>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83" t="s">
        <v>67</v>
      </c>
      <c r="D52" s="583"/>
      <c r="E52" s="608"/>
      <c r="F52" s="609">
        <f>SUM(F11:F51)</f>
        <v>1806.642478</v>
      </c>
      <c r="G52" s="608"/>
      <c r="H52" s="609">
        <f>SUM(H11:H51)</f>
        <v>1037.9040519999999</v>
      </c>
      <c r="I52" s="608"/>
      <c r="J52" s="610">
        <f>SUM(J11:J51)</f>
        <v>700.33639804980066</v>
      </c>
      <c r="K52" s="611"/>
      <c r="L52" s="612"/>
      <c r="M52" s="224"/>
      <c r="AB52" s="710"/>
      <c r="AC52" s="711"/>
      <c r="AD52" s="711"/>
      <c r="AE52" s="711"/>
      <c r="AF52" s="711"/>
      <c r="AG52" s="711"/>
      <c r="AH52" s="711"/>
      <c r="AI52" s="711"/>
      <c r="AJ52" s="711"/>
      <c r="AK52" s="711"/>
      <c r="AL52" s="711"/>
      <c r="AM52" s="711"/>
      <c r="AN52" s="711"/>
      <c r="AO52" s="709"/>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13" t="s">
        <v>69</v>
      </c>
      <c r="D53" s="613"/>
      <c r="E53" s="614"/>
      <c r="F53" s="615"/>
      <c r="G53" s="616"/>
      <c r="H53" s="617">
        <v>1</v>
      </c>
      <c r="I53" s="614"/>
      <c r="J53" s="618">
        <f>IFERROR(+J52/H52,0)</f>
        <v>0.67476025042997012</v>
      </c>
      <c r="K53" s="619"/>
      <c r="L53" s="620"/>
      <c r="M53" s="224"/>
      <c r="AB53" s="710"/>
      <c r="AC53" s="711"/>
      <c r="AD53" s="711"/>
      <c r="AE53" s="711"/>
      <c r="AF53" s="711"/>
      <c r="AG53" s="711"/>
      <c r="AH53" s="711"/>
      <c r="AI53" s="711"/>
      <c r="AJ53" s="711"/>
      <c r="AK53" s="711"/>
      <c r="AL53" s="711"/>
      <c r="AM53" s="711"/>
      <c r="AN53" s="711"/>
      <c r="AO53" s="709"/>
      <c r="AP53" s="367"/>
      <c r="AQ53"/>
      <c r="AR53"/>
      <c r="AS53"/>
      <c r="AT53"/>
      <c r="AU53"/>
      <c r="AV53"/>
      <c r="AW53"/>
      <c r="AX53"/>
      <c r="AY53"/>
      <c r="AZ53"/>
      <c r="BA53"/>
      <c r="BB53"/>
      <c r="BC53"/>
      <c r="BD53"/>
      <c r="BE53"/>
    </row>
    <row r="54" spans="2:57" ht="27" customHeight="1" thickBot="1" x14ac:dyDescent="0.35">
      <c r="B54" s="406"/>
      <c r="C54" s="584" t="s">
        <v>234</v>
      </c>
      <c r="D54" s="584"/>
      <c r="E54" s="621">
        <f>'RINCI 1'!E18</f>
        <v>1726.8225980000002</v>
      </c>
      <c r="F54" s="847">
        <v>1</v>
      </c>
      <c r="G54" s="847">
        <f>+H52/F52*100%</f>
        <v>0.57449332927729369</v>
      </c>
      <c r="H54" s="847"/>
      <c r="I54" s="848">
        <f>+J52/F52</f>
        <v>0.38764526273349403</v>
      </c>
      <c r="J54" s="848"/>
      <c r="K54" s="849"/>
      <c r="L54" s="849"/>
      <c r="M54" s="224"/>
      <c r="AB54" s="710"/>
      <c r="AC54" s="711"/>
      <c r="AD54" s="711"/>
      <c r="AE54" s="711"/>
      <c r="AF54" s="711"/>
      <c r="AG54" s="711"/>
      <c r="AH54" s="711"/>
      <c r="AI54" s="711"/>
      <c r="AJ54" s="711"/>
      <c r="AK54" s="711"/>
      <c r="AL54" s="711"/>
      <c r="AM54" s="711"/>
      <c r="AN54" s="711"/>
      <c r="AO54" s="709"/>
      <c r="AP54" s="367"/>
      <c r="AQ54"/>
      <c r="AR54"/>
      <c r="AS54"/>
      <c r="AT54"/>
      <c r="AU54"/>
      <c r="AV54"/>
      <c r="AW54"/>
      <c r="AX54"/>
      <c r="AY54"/>
      <c r="AZ54"/>
      <c r="BA54"/>
      <c r="BB54"/>
      <c r="BC54"/>
      <c r="BD54"/>
      <c r="BE54"/>
    </row>
    <row r="55" spans="2:57" ht="27" customHeight="1" thickBot="1" x14ac:dyDescent="0.25">
      <c r="B55" s="406"/>
      <c r="C55" s="584" t="s">
        <v>235</v>
      </c>
      <c r="D55" s="584"/>
      <c r="E55" s="622">
        <f>F52-E54</f>
        <v>79.819879999999785</v>
      </c>
      <c r="F55" s="847"/>
      <c r="G55" s="847"/>
      <c r="H55" s="847"/>
      <c r="I55" s="848"/>
      <c r="J55" s="848"/>
      <c r="K55" s="849"/>
      <c r="L55" s="849"/>
      <c r="M55" s="218"/>
      <c r="AB55" s="710"/>
      <c r="AC55" s="711"/>
      <c r="AD55" s="711"/>
      <c r="AE55" s="711"/>
      <c r="AF55" s="711"/>
      <c r="AG55" s="711"/>
      <c r="AH55" s="711"/>
      <c r="AI55" s="711"/>
      <c r="AJ55" s="711"/>
      <c r="AK55" s="711"/>
      <c r="AL55" s="711"/>
      <c r="AM55" s="711"/>
      <c r="AN55" s="711"/>
      <c r="AO55" s="709"/>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10"/>
      <c r="AC56" s="711"/>
      <c r="AD56" s="711"/>
      <c r="AE56" s="711"/>
      <c r="AF56" s="711"/>
      <c r="AG56" s="711"/>
      <c r="AH56" s="711"/>
      <c r="AI56" s="711"/>
      <c r="AJ56" s="711"/>
      <c r="AK56" s="711"/>
      <c r="AL56" s="711"/>
      <c r="AM56" s="711"/>
      <c r="AN56" s="711"/>
      <c r="AO56" s="709"/>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16</v>
      </c>
      <c r="G57" s="392" t="s">
        <v>277</v>
      </c>
      <c r="H57" s="581">
        <v>2020</v>
      </c>
      <c r="I57" s="350"/>
      <c r="J57" s="350"/>
      <c r="K57" s="414"/>
      <c r="L57" s="415"/>
      <c r="M57" s="226"/>
      <c r="Y57" s="216" t="s">
        <v>302</v>
      </c>
      <c r="AB57" s="710"/>
      <c r="AC57" s="711"/>
      <c r="AD57" s="711"/>
      <c r="AE57" s="711"/>
      <c r="AF57" s="711"/>
      <c r="AG57" s="711"/>
      <c r="AH57" s="711"/>
      <c r="AI57" s="711"/>
      <c r="AJ57" s="711"/>
      <c r="AK57" s="711"/>
      <c r="AL57" s="711"/>
      <c r="AM57" s="711"/>
      <c r="AN57" s="711"/>
      <c r="AO57" s="709"/>
      <c r="AP57" s="367">
        <f>COUNT(AC44:AN44)</f>
        <v>12</v>
      </c>
      <c r="AQ57" s="318" t="s">
        <v>217</v>
      </c>
      <c r="AR57" s="318">
        <f t="shared" ref="AR57:BC57" si="17">COUNT(AC22:AC37)</f>
        <v>16</v>
      </c>
      <c r="AS57" s="318">
        <f t="shared" si="17"/>
        <v>13</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12" t="s">
        <v>18</v>
      </c>
      <c r="C58" s="515" t="s">
        <v>19</v>
      </c>
      <c r="D58" s="515" t="s">
        <v>75</v>
      </c>
      <c r="E58" s="816" t="s">
        <v>20</v>
      </c>
      <c r="F58" s="817"/>
      <c r="G58" s="816" t="s">
        <v>96</v>
      </c>
      <c r="H58" s="817"/>
      <c r="I58" s="816" t="s">
        <v>22</v>
      </c>
      <c r="J58" s="817"/>
      <c r="K58" s="509" t="s">
        <v>168</v>
      </c>
      <c r="L58" s="416"/>
      <c r="M58" s="226"/>
      <c r="AB58" s="710"/>
      <c r="AC58" s="711"/>
      <c r="AD58" s="711"/>
      <c r="AE58" s="711"/>
      <c r="AF58" s="711"/>
      <c r="AG58" s="711"/>
      <c r="AH58" s="711"/>
      <c r="AI58" s="711"/>
      <c r="AJ58" s="711"/>
      <c r="AK58" s="711"/>
      <c r="AL58" s="711"/>
      <c r="AM58" s="711"/>
      <c r="AN58" s="711"/>
      <c r="AO58" s="709"/>
      <c r="AP58" s="363"/>
      <c r="AQ58" t="s">
        <v>218</v>
      </c>
      <c r="AR58">
        <f t="shared" ref="AR58:BC58" si="18">AR56-AR57</f>
        <v>0</v>
      </c>
      <c r="AS58">
        <f t="shared" si="18"/>
        <v>0</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13"/>
      <c r="C59" s="516"/>
      <c r="D59" s="516"/>
      <c r="E59" s="352" t="s">
        <v>24</v>
      </c>
      <c r="F59" s="352" t="s">
        <v>25</v>
      </c>
      <c r="G59" s="351" t="s">
        <v>24</v>
      </c>
      <c r="H59" s="352" t="s">
        <v>25</v>
      </c>
      <c r="I59" s="351" t="s">
        <v>24</v>
      </c>
      <c r="J59" s="352" t="s">
        <v>25</v>
      </c>
      <c r="K59" s="510"/>
      <c r="L59" s="416"/>
      <c r="M59" s="226"/>
      <c r="AB59" s="710"/>
      <c r="AC59" s="711"/>
      <c r="AD59" s="711"/>
      <c r="AE59" s="711"/>
      <c r="AF59" s="711"/>
      <c r="AG59" s="711"/>
      <c r="AH59" s="711"/>
      <c r="AI59" s="711"/>
      <c r="AJ59" s="711"/>
      <c r="AK59" s="711"/>
      <c r="AL59" s="711"/>
      <c r="AM59" s="711"/>
      <c r="AN59" s="711"/>
      <c r="AO59" s="709"/>
      <c r="AP59" s="363"/>
      <c r="AQ59"/>
      <c r="AR59"/>
      <c r="AS59"/>
      <c r="AT59"/>
      <c r="AU59"/>
      <c r="AV59"/>
      <c r="AW59"/>
      <c r="AX59"/>
      <c r="AY59"/>
      <c r="AZ59"/>
      <c r="BA59"/>
      <c r="BB59"/>
      <c r="BC59"/>
      <c r="BD59"/>
      <c r="BE59"/>
    </row>
    <row r="60" spans="2:57" ht="27" customHeight="1" thickBot="1" x14ac:dyDescent="0.25">
      <c r="B60" s="514"/>
      <c r="C60" s="517"/>
      <c r="D60" s="517"/>
      <c r="E60" s="354" t="s">
        <v>26</v>
      </c>
      <c r="F60" s="354" t="s">
        <v>157</v>
      </c>
      <c r="G60" s="353" t="s">
        <v>26</v>
      </c>
      <c r="H60" s="354" t="s">
        <v>157</v>
      </c>
      <c r="I60" s="353" t="s">
        <v>26</v>
      </c>
      <c r="J60" s="354" t="s">
        <v>157</v>
      </c>
      <c r="K60" s="511"/>
      <c r="L60" s="416"/>
      <c r="M60" s="226"/>
      <c r="AB60" s="710"/>
      <c r="AC60" s="711"/>
      <c r="AD60" s="711"/>
      <c r="AE60" s="711"/>
      <c r="AF60" s="711"/>
      <c r="AG60" s="711"/>
      <c r="AH60" s="711"/>
      <c r="AI60" s="711"/>
      <c r="AJ60" s="711"/>
      <c r="AK60" s="711"/>
      <c r="AL60" s="711"/>
      <c r="AM60" s="711"/>
      <c r="AN60" s="711"/>
      <c r="AO60" s="709"/>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10"/>
      <c r="AC61" s="711"/>
      <c r="AD61" s="711"/>
      <c r="AE61" s="711"/>
      <c r="AF61" s="711"/>
      <c r="AG61" s="711"/>
      <c r="AH61" s="711"/>
      <c r="AI61" s="711"/>
      <c r="AJ61" s="711"/>
      <c r="AK61" s="711"/>
      <c r="AL61" s="711"/>
      <c r="AM61" s="711"/>
      <c r="AN61" s="711"/>
      <c r="AO61" s="709"/>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54.17</v>
      </c>
      <c r="J62" s="787">
        <v>22.300754999999999</v>
      </c>
      <c r="K62" s="418" t="str">
        <f>IF(I62&gt;E62,"Limpas","")</f>
        <v/>
      </c>
      <c r="L62" s="521"/>
      <c r="M62" s="224"/>
      <c r="AB62" s="677"/>
      <c r="AC62" s="678"/>
      <c r="AD62" s="678"/>
      <c r="AE62" s="678"/>
      <c r="AF62" s="678"/>
      <c r="AG62" s="678"/>
      <c r="AH62" s="678"/>
      <c r="AI62" s="678"/>
      <c r="AJ62" s="678"/>
      <c r="AK62" s="678"/>
      <c r="AL62" s="678"/>
      <c r="AM62" s="678"/>
      <c r="AN62" s="678"/>
      <c r="AO62" s="679"/>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335.01</v>
      </c>
      <c r="J63" s="789">
        <v>3.948</v>
      </c>
      <c r="K63" s="418"/>
      <c r="L63" s="763"/>
      <c r="M63" s="542"/>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77.58</v>
      </c>
      <c r="J64" s="789">
        <v>49.545226</v>
      </c>
      <c r="K64" s="418" t="str">
        <f>IF(I64&gt;E64,"Limpas","")</f>
        <v>Limpas</v>
      </c>
      <c r="L64" s="763"/>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421">
        <v>462.09</v>
      </c>
      <c r="J65" s="789">
        <v>30.449000000000002</v>
      </c>
      <c r="K65" s="418" t="str">
        <f>IF(I65&gt;E65,"Limpas","")</f>
        <v/>
      </c>
      <c r="L65" s="763"/>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652">
        <v>203.07</v>
      </c>
      <c r="J66" s="787">
        <v>5.4569999999999999</v>
      </c>
      <c r="K66" s="418"/>
      <c r="L66" s="764"/>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652">
        <v>313.85000000000002</v>
      </c>
      <c r="J67" s="787">
        <v>2.488</v>
      </c>
      <c r="K67" s="418" t="str">
        <f>IF(I67&gt;E67,"Limpas","")</f>
        <v/>
      </c>
      <c r="L67" s="764"/>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652">
        <v>77.02</v>
      </c>
      <c r="J68" s="789">
        <v>208.93857542003943</v>
      </c>
      <c r="K68" s="418" t="str">
        <f>IF(I68&gt;E68,"Limpas","")</f>
        <v/>
      </c>
      <c r="L68" s="764"/>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115.93</v>
      </c>
      <c r="J69" s="787">
        <v>0.504</v>
      </c>
      <c r="K69" s="418" t="str">
        <f>IF(I69&gt;E69,"Limpas","")</f>
        <v/>
      </c>
      <c r="L69" s="764"/>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652">
        <v>115.85</v>
      </c>
      <c r="J70" s="787">
        <v>0.22900000000000001</v>
      </c>
      <c r="K70" s="418" t="str">
        <f>IF(I70&gt;E70,"Limpas","")</f>
        <v/>
      </c>
      <c r="L70" s="764"/>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652">
        <v>40.64</v>
      </c>
      <c r="J71" s="787">
        <v>0.72799999999999998</v>
      </c>
      <c r="K71" s="418" t="str">
        <f>IF(I71&gt;E71,"Limpas","")</f>
        <v/>
      </c>
      <c r="L71" s="765"/>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653">
        <v>45.31</v>
      </c>
      <c r="J72" s="787">
        <v>0.55700000000000005</v>
      </c>
      <c r="K72" s="418" t="str">
        <f t="shared" ref="K72:K98" si="23">IF(I72&gt;E72,"Limpas","")</f>
        <v/>
      </c>
      <c r="L72" s="764"/>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652">
        <v>74.260000000000005</v>
      </c>
      <c r="J73" s="787">
        <v>0.23100000000000001</v>
      </c>
      <c r="K73" s="418" t="str">
        <f t="shared" si="23"/>
        <v/>
      </c>
      <c r="L73" s="764"/>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652">
        <v>81.41</v>
      </c>
      <c r="J74" s="787">
        <v>0.23100000000000001</v>
      </c>
      <c r="K74" s="418" t="str">
        <f t="shared" si="23"/>
        <v/>
      </c>
      <c r="L74" s="764"/>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652">
        <v>69.510000000000005</v>
      </c>
      <c r="J75" s="787">
        <v>0.124</v>
      </c>
      <c r="K75" s="418" t="str">
        <f t="shared" si="23"/>
        <v/>
      </c>
      <c r="L75" s="764"/>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652">
        <v>46.49</v>
      </c>
      <c r="J76" s="787">
        <v>0.31900000000000001</v>
      </c>
      <c r="K76" s="418" t="str">
        <f t="shared" si="23"/>
        <v/>
      </c>
      <c r="L76" s="764"/>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129.47999999999999</v>
      </c>
      <c r="J77" s="798">
        <v>101.932</v>
      </c>
      <c r="K77" s="418" t="str">
        <f t="shared" si="23"/>
        <v/>
      </c>
      <c r="L77" s="764"/>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109.36</v>
      </c>
      <c r="J78" s="798">
        <v>0.26300000000000001</v>
      </c>
      <c r="K78" s="418">
        <v>480.10199999999998</v>
      </c>
      <c r="L78" s="764"/>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200.4</v>
      </c>
      <c r="J79" s="798">
        <v>0.06</v>
      </c>
      <c r="K79" s="418" t="str">
        <f t="shared" si="23"/>
        <v/>
      </c>
      <c r="L79" s="764"/>
      <c r="M79" s="224"/>
      <c r="N79" s="216" t="s">
        <v>312</v>
      </c>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220.05</v>
      </c>
      <c r="J80" s="800">
        <v>0.28799999999999998</v>
      </c>
      <c r="K80" s="418" t="str">
        <f t="shared" si="23"/>
        <v/>
      </c>
      <c r="L80" s="766"/>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196.02</v>
      </c>
      <c r="J81" s="798">
        <v>0.45600000000000002</v>
      </c>
      <c r="K81" s="418" t="str">
        <f t="shared" si="23"/>
        <v>Limpas</v>
      </c>
      <c r="L81" s="764"/>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169.28</v>
      </c>
      <c r="J82" s="798">
        <v>8.8999999999999996E-2</v>
      </c>
      <c r="K82" s="418">
        <v>226.68</v>
      </c>
      <c r="L82" s="764"/>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218.66</v>
      </c>
      <c r="J83" s="801">
        <v>6.0999999999999999E-2</v>
      </c>
      <c r="K83" s="418">
        <v>26.036999999999999</v>
      </c>
      <c r="L83" s="766"/>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241.4</v>
      </c>
      <c r="J84" s="800">
        <v>0.38700000000000001</v>
      </c>
      <c r="K84" s="418">
        <v>235.744</v>
      </c>
      <c r="L84" s="766"/>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146.74</v>
      </c>
      <c r="J85" s="800">
        <v>1.474</v>
      </c>
      <c r="K85" s="418" t="str">
        <f t="shared" si="23"/>
        <v/>
      </c>
      <c r="L85" s="766"/>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232.23</v>
      </c>
      <c r="J86" s="798">
        <v>3.2050000000000001</v>
      </c>
      <c r="K86" s="418">
        <v>500</v>
      </c>
      <c r="L86" s="764"/>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325.5</v>
      </c>
      <c r="J87" s="800">
        <v>0.69499999999999995</v>
      </c>
      <c r="K87" s="418" t="str">
        <f t="shared" si="23"/>
        <v/>
      </c>
      <c r="L87" s="766"/>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798">
        <v>0.5</v>
      </c>
      <c r="K88" s="418">
        <v>275.45699999999999</v>
      </c>
      <c r="L88" s="764"/>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282.77999999999997</v>
      </c>
      <c r="J89" s="798">
        <v>0.51300000000000001</v>
      </c>
      <c r="K89" s="418">
        <v>85.683999999999997</v>
      </c>
      <c r="L89" s="764"/>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97.15</v>
      </c>
      <c r="J90" s="800">
        <v>0.60499999999999998</v>
      </c>
      <c r="K90" s="418" t="str">
        <f t="shared" si="23"/>
        <v/>
      </c>
      <c r="L90" s="766"/>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189.15</v>
      </c>
      <c r="J91" s="800">
        <v>6.6000000000000003E-2</v>
      </c>
      <c r="K91" s="418" t="str">
        <f t="shared" si="23"/>
        <v/>
      </c>
      <c r="L91" s="766"/>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171.4</v>
      </c>
      <c r="J92" s="800">
        <v>0.10100000000000001</v>
      </c>
      <c r="K92" s="418">
        <v>8.4770000000000003</v>
      </c>
      <c r="L92" s="766"/>
      <c r="M92" s="224"/>
      <c r="AB92"/>
      <c r="AC92"/>
      <c r="AD92"/>
      <c r="AE92"/>
      <c r="AF92"/>
      <c r="AG92"/>
      <c r="AH92"/>
      <c r="AI92"/>
      <c r="AJ92"/>
      <c r="AK92"/>
      <c r="AL92"/>
      <c r="AM92"/>
      <c r="AN92"/>
      <c r="AO92"/>
      <c r="AP92" s="363"/>
      <c r="AQ92" s="375">
        <f t="shared" si="22"/>
        <v>28</v>
      </c>
      <c r="AR92">
        <f t="shared" si="20"/>
        <v>581.6</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151.16</v>
      </c>
      <c r="J93" s="802">
        <v>4.298</v>
      </c>
      <c r="K93" s="418" t="str">
        <f t="shared" si="23"/>
        <v>Limpas</v>
      </c>
      <c r="L93" s="767"/>
      <c r="M93" s="224"/>
      <c r="AB93"/>
      <c r="AC93"/>
      <c r="AD93"/>
      <c r="AE93"/>
      <c r="AF93"/>
      <c r="AG93"/>
      <c r="AH93"/>
      <c r="AI93"/>
      <c r="AJ93"/>
      <c r="AK93"/>
      <c r="AL93"/>
      <c r="AM93"/>
      <c r="AN93"/>
      <c r="AO93"/>
      <c r="AP93" s="363"/>
      <c r="AQ93" s="375">
        <f t="shared" si="22"/>
        <v>29</v>
      </c>
      <c r="AR93">
        <f t="shared" si="20"/>
        <v>583.95000000000005</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236.65</v>
      </c>
      <c r="J94" s="802">
        <v>1.214</v>
      </c>
      <c r="K94" s="418" t="str">
        <f t="shared" si="23"/>
        <v/>
      </c>
      <c r="L94" s="767"/>
      <c r="M94" s="224"/>
      <c r="AB94"/>
      <c r="AC94"/>
      <c r="AD94"/>
      <c r="AE94"/>
      <c r="AF94"/>
      <c r="AG94"/>
      <c r="AH94"/>
      <c r="AI94"/>
      <c r="AJ94"/>
      <c r="AK94"/>
      <c r="AL94"/>
      <c r="AM94"/>
      <c r="AN94"/>
      <c r="AO94"/>
      <c r="AP94" s="363"/>
      <c r="AQ94" s="375">
        <f t="shared" si="22"/>
        <v>30</v>
      </c>
      <c r="AR94">
        <f t="shared" si="20"/>
        <v>586.62</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120.75</v>
      </c>
      <c r="J95" s="798">
        <v>4.1539999999999999</v>
      </c>
      <c r="K95" s="418" t="str">
        <f t="shared" si="23"/>
        <v>Limpas</v>
      </c>
      <c r="L95" s="764"/>
      <c r="M95" s="224"/>
      <c r="AB95"/>
      <c r="AC95"/>
      <c r="AD95"/>
      <c r="AE95"/>
      <c r="AF95"/>
      <c r="AG95"/>
      <c r="AH95"/>
      <c r="AI95"/>
      <c r="AJ95"/>
      <c r="AK95"/>
      <c r="AL95"/>
      <c r="AM95"/>
      <c r="AN95"/>
      <c r="AO95"/>
      <c r="AP95" s="363"/>
      <c r="AQ95" s="375">
        <f t="shared" si="22"/>
        <v>31</v>
      </c>
      <c r="AR95">
        <f t="shared" si="20"/>
        <v>589.03</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109.62</v>
      </c>
      <c r="J96" s="798">
        <v>1.41</v>
      </c>
      <c r="K96" s="418"/>
      <c r="L96" s="764"/>
      <c r="M96" s="224"/>
      <c r="AB96"/>
      <c r="AC96"/>
      <c r="AD96"/>
      <c r="AE96"/>
      <c r="AF96"/>
      <c r="AG96"/>
      <c r="AH96"/>
      <c r="AI96"/>
      <c r="AJ96"/>
      <c r="AK96"/>
      <c r="AL96"/>
      <c r="AM96"/>
      <c r="AN96"/>
      <c r="AO96"/>
      <c r="AP96" s="363"/>
      <c r="AQ96" s="375">
        <f t="shared" si="22"/>
        <v>32</v>
      </c>
      <c r="AR96">
        <f t="shared" ref="AR96:AR102" si="24">IF(AD7="tad","tad",AD7)</f>
        <v>594.27</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64.63</v>
      </c>
      <c r="J97" s="802">
        <v>22.544</v>
      </c>
      <c r="K97" s="418" t="str">
        <f t="shared" si="23"/>
        <v/>
      </c>
      <c r="L97" s="767"/>
      <c r="M97" s="224"/>
      <c r="AB97"/>
      <c r="AC97"/>
      <c r="AD97"/>
      <c r="AE97"/>
      <c r="AF97"/>
      <c r="AG97"/>
      <c r="AH97"/>
      <c r="AI97"/>
      <c r="AJ97"/>
      <c r="AK97"/>
      <c r="AL97"/>
      <c r="AM97"/>
      <c r="AN97"/>
      <c r="AO97"/>
      <c r="AP97" s="363"/>
      <c r="AQ97" s="375">
        <f t="shared" si="22"/>
        <v>33</v>
      </c>
      <c r="AR97">
        <f t="shared" si="24"/>
        <v>600.49</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594">
        <v>163.33000000000001</v>
      </c>
      <c r="J98" s="806">
        <v>186.411</v>
      </c>
      <c r="K98" s="418" t="str">
        <f t="shared" si="23"/>
        <v/>
      </c>
      <c r="L98" s="768"/>
      <c r="M98" s="224"/>
      <c r="AB98"/>
      <c r="AC98"/>
      <c r="AD98"/>
      <c r="AE98"/>
      <c r="AF98"/>
      <c r="AG98"/>
      <c r="AH98"/>
      <c r="AI98"/>
      <c r="AJ98"/>
      <c r="AK98"/>
      <c r="AL98"/>
      <c r="AM98"/>
      <c r="AN98"/>
      <c r="AO98"/>
      <c r="AP98" s="363"/>
      <c r="AQ98" s="375">
        <f t="shared" si="22"/>
        <v>34</v>
      </c>
      <c r="AR98">
        <f t="shared" si="24"/>
        <v>602.54999999999995</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229.92</v>
      </c>
      <c r="J99" s="802">
        <v>11.739000000000001</v>
      </c>
      <c r="K99" s="418" t="str">
        <f>IF(I99&gt;E99,"Limpas","")</f>
        <v/>
      </c>
      <c r="L99" s="767"/>
      <c r="M99" s="520"/>
      <c r="AB99"/>
      <c r="AC99"/>
      <c r="AD99"/>
      <c r="AE99"/>
      <c r="AF99"/>
      <c r="AG99"/>
      <c r="AH99"/>
      <c r="AI99"/>
      <c r="AJ99"/>
      <c r="AK99"/>
      <c r="AL99"/>
      <c r="AM99"/>
      <c r="AN99"/>
      <c r="AO99"/>
      <c r="AP99" s="363"/>
      <c r="AQ99" s="375">
        <f t="shared" si="22"/>
        <v>35</v>
      </c>
      <c r="AR99">
        <f t="shared" si="24"/>
        <v>612.39</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149.124</v>
      </c>
      <c r="J100" s="810">
        <v>10.74</v>
      </c>
      <c r="K100" s="543" t="s">
        <v>233</v>
      </c>
      <c r="L100" s="769"/>
      <c r="M100" s="224"/>
      <c r="AB100"/>
      <c r="AC100"/>
      <c r="AD100"/>
      <c r="AE100"/>
      <c r="AF100"/>
      <c r="AG100"/>
      <c r="AH100"/>
      <c r="AI100"/>
      <c r="AJ100"/>
      <c r="AK100"/>
      <c r="AL100"/>
      <c r="AM100"/>
      <c r="AN100"/>
      <c r="AO100"/>
      <c r="AP100" s="363"/>
      <c r="AQ100" s="375">
        <f t="shared" si="22"/>
        <v>36</v>
      </c>
      <c r="AR100">
        <f t="shared" si="24"/>
        <v>616.53</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623">
        <v>35.24</v>
      </c>
      <c r="J101" s="802">
        <v>0.14299999999999999</v>
      </c>
      <c r="K101" s="543" t="s">
        <v>204</v>
      </c>
      <c r="L101" s="767"/>
      <c r="AB101"/>
      <c r="AC101"/>
      <c r="AD101"/>
      <c r="AE101"/>
      <c r="AF101"/>
      <c r="AG101"/>
      <c r="AH101"/>
      <c r="AI101"/>
      <c r="AJ101"/>
      <c r="AK101"/>
      <c r="AL101"/>
      <c r="AM101"/>
      <c r="AN101"/>
      <c r="AO101"/>
      <c r="AP101" s="363"/>
      <c r="AQ101" s="375">
        <f t="shared" si="22"/>
        <v>37</v>
      </c>
      <c r="AR101">
        <f t="shared" si="24"/>
        <v>623.99</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652">
        <v>70.05</v>
      </c>
      <c r="J102" s="802">
        <v>0.752</v>
      </c>
      <c r="K102" s="544"/>
      <c r="L102" s="767"/>
      <c r="AB102"/>
      <c r="AC102"/>
      <c r="AD102"/>
      <c r="AE102"/>
      <c r="AF102"/>
      <c r="AG102"/>
      <c r="AH102"/>
      <c r="AI102"/>
      <c r="AJ102"/>
      <c r="AK102"/>
      <c r="AL102"/>
      <c r="AM102"/>
      <c r="AN102"/>
      <c r="AO102"/>
      <c r="AP102" s="363"/>
      <c r="AQ102" s="375">
        <f t="shared" si="22"/>
        <v>38</v>
      </c>
      <c r="AR102">
        <f t="shared" si="24"/>
        <v>635.01</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680.14955642003952</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15" t="s">
        <v>69</v>
      </c>
      <c r="D104" s="515"/>
      <c r="E104" s="431"/>
      <c r="F104" s="428"/>
      <c r="G104" s="429"/>
      <c r="H104" s="430">
        <v>1</v>
      </c>
      <c r="I104" s="431"/>
      <c r="J104" s="357">
        <f>IFERROR(+J103/H103,0)</f>
        <v>0.84418269609904473</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5">
        <v>1736.79</v>
      </c>
      <c r="F105" s="432">
        <v>1</v>
      </c>
      <c r="G105" s="433" t="s">
        <v>68</v>
      </c>
      <c r="H105" s="432">
        <f>+H103/F103*100%</f>
        <v>0.44417982409111745</v>
      </c>
      <c r="I105" s="434"/>
      <c r="J105" s="358">
        <f>+J103/F103</f>
        <v>0.37496892145403893</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642.96</v>
      </c>
      <c r="AS106">
        <f t="shared" si="21"/>
        <v>0</v>
      </c>
      <c r="AT106"/>
      <c r="AU106"/>
      <c r="AV106"/>
      <c r="AW106"/>
      <c r="AX106"/>
      <c r="AY106"/>
      <c r="AZ106"/>
      <c r="BA106"/>
      <c r="BB106"/>
      <c r="BC106"/>
      <c r="BD106"/>
      <c r="BE106"/>
    </row>
    <row r="107" spans="2:57" ht="27" customHeight="1" thickBot="1" x14ac:dyDescent="0.25">
      <c r="B107" s="390"/>
      <c r="C107" s="350"/>
      <c r="D107" s="350"/>
      <c r="E107" s="350"/>
      <c r="F107" s="391">
        <v>15</v>
      </c>
      <c r="G107" s="392" t="s">
        <v>277</v>
      </c>
      <c r="H107" s="581">
        <v>2020</v>
      </c>
      <c r="I107" s="350"/>
      <c r="J107" s="350"/>
      <c r="K107" s="414"/>
      <c r="L107" s="415"/>
      <c r="M107" s="228"/>
      <c r="AB107"/>
      <c r="AC107"/>
      <c r="AD107"/>
      <c r="AE107"/>
      <c r="AF107"/>
      <c r="AG107"/>
      <c r="AH107"/>
      <c r="AI107"/>
      <c r="AJ107"/>
      <c r="AK107"/>
      <c r="AL107"/>
      <c r="AM107"/>
      <c r="AN107"/>
      <c r="AO107"/>
      <c r="AP107" s="363"/>
      <c r="AQ107" s="375">
        <f t="shared" si="22"/>
        <v>40</v>
      </c>
      <c r="AR107">
        <f t="shared" si="25"/>
        <v>644.61</v>
      </c>
      <c r="AS107">
        <f t="shared" si="21"/>
        <v>0</v>
      </c>
      <c r="AT107"/>
      <c r="AU107"/>
      <c r="AV107"/>
      <c r="AW107"/>
      <c r="AX107"/>
      <c r="AY107"/>
      <c r="AZ107"/>
      <c r="BA107"/>
      <c r="BB107"/>
      <c r="BC107"/>
      <c r="BD107"/>
      <c r="BE107"/>
    </row>
    <row r="108" spans="2:57" ht="27" customHeight="1" x14ac:dyDescent="0.2">
      <c r="B108" s="512" t="s">
        <v>18</v>
      </c>
      <c r="C108" s="515" t="s">
        <v>19</v>
      </c>
      <c r="D108" s="515" t="s">
        <v>75</v>
      </c>
      <c r="E108" s="816" t="s">
        <v>20</v>
      </c>
      <c r="F108" s="817"/>
      <c r="G108" s="816" t="s">
        <v>96</v>
      </c>
      <c r="H108" s="817"/>
      <c r="I108" s="816" t="s">
        <v>22</v>
      </c>
      <c r="J108" s="817"/>
      <c r="K108" s="509" t="s">
        <v>168</v>
      </c>
      <c r="L108" s="416"/>
      <c r="M108" s="229"/>
      <c r="AB108"/>
      <c r="AC108"/>
      <c r="AD108"/>
      <c r="AE108"/>
      <c r="AF108"/>
      <c r="AG108"/>
      <c r="AH108"/>
      <c r="AI108"/>
      <c r="AJ108"/>
      <c r="AK108"/>
      <c r="AL108"/>
      <c r="AM108"/>
      <c r="AN108"/>
      <c r="AO108"/>
      <c r="AP108" s="363"/>
      <c r="AQ108" s="375">
        <f t="shared" si="22"/>
        <v>41</v>
      </c>
      <c r="AR108">
        <f t="shared" si="25"/>
        <v>646.84</v>
      </c>
      <c r="AS108">
        <f t="shared" si="21"/>
        <v>0</v>
      </c>
      <c r="AT108"/>
      <c r="AU108"/>
      <c r="AV108"/>
      <c r="AW108"/>
      <c r="AX108"/>
      <c r="AY108"/>
      <c r="AZ108"/>
      <c r="BA108"/>
      <c r="BB108"/>
      <c r="BC108"/>
      <c r="BD108"/>
      <c r="BE108"/>
    </row>
    <row r="109" spans="2:57" ht="27" customHeight="1" x14ac:dyDescent="0.2">
      <c r="B109" s="513"/>
      <c r="C109" s="516"/>
      <c r="D109" s="516"/>
      <c r="E109" s="352" t="s">
        <v>24</v>
      </c>
      <c r="F109" s="352" t="s">
        <v>25</v>
      </c>
      <c r="G109" s="351" t="s">
        <v>24</v>
      </c>
      <c r="H109" s="352" t="s">
        <v>25</v>
      </c>
      <c r="I109" s="351" t="s">
        <v>24</v>
      </c>
      <c r="J109" s="352" t="s">
        <v>25</v>
      </c>
      <c r="K109" s="510"/>
      <c r="L109" s="416"/>
      <c r="M109" s="226"/>
      <c r="AB109"/>
      <c r="AC109"/>
      <c r="AD109"/>
      <c r="AE109"/>
      <c r="AF109"/>
      <c r="AG109"/>
      <c r="AH109"/>
      <c r="AI109"/>
      <c r="AJ109"/>
      <c r="AK109"/>
      <c r="AL109"/>
      <c r="AM109"/>
      <c r="AN109"/>
      <c r="AO109"/>
      <c r="AP109" s="363"/>
      <c r="AQ109" s="375">
        <f t="shared" si="22"/>
        <v>42</v>
      </c>
      <c r="AR109">
        <f t="shared" si="25"/>
        <v>649.76</v>
      </c>
      <c r="AS109">
        <f t="shared" si="21"/>
        <v>0</v>
      </c>
      <c r="AT109"/>
      <c r="AU109"/>
      <c r="AV109"/>
      <c r="AW109"/>
      <c r="AX109"/>
      <c r="AY109"/>
      <c r="AZ109"/>
      <c r="BA109"/>
      <c r="BB109"/>
      <c r="BC109"/>
      <c r="BD109"/>
      <c r="BE109"/>
    </row>
    <row r="110" spans="2:57" ht="27" customHeight="1" thickBot="1" x14ac:dyDescent="0.25">
      <c r="B110" s="514"/>
      <c r="C110" s="517"/>
      <c r="D110" s="517"/>
      <c r="E110" s="354" t="s">
        <v>26</v>
      </c>
      <c r="F110" s="354" t="s">
        <v>157</v>
      </c>
      <c r="G110" s="353" t="s">
        <v>26</v>
      </c>
      <c r="H110" s="354" t="s">
        <v>157</v>
      </c>
      <c r="I110" s="353" t="s">
        <v>26</v>
      </c>
      <c r="J110" s="354" t="s">
        <v>157</v>
      </c>
      <c r="K110" s="511"/>
      <c r="L110" s="416"/>
      <c r="M110" s="226"/>
      <c r="AB110"/>
      <c r="AC110"/>
      <c r="AD110"/>
      <c r="AE110"/>
      <c r="AF110"/>
      <c r="AG110"/>
      <c r="AH110"/>
      <c r="AI110"/>
      <c r="AJ110"/>
      <c r="AK110"/>
      <c r="AL110"/>
      <c r="AM110"/>
      <c r="AN110"/>
      <c r="AO110"/>
      <c r="AP110" s="363"/>
      <c r="AQ110" s="375">
        <f t="shared" si="22"/>
        <v>43</v>
      </c>
      <c r="AR110">
        <f t="shared" si="25"/>
        <v>650.83000000000004</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640.70000000000005</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53.89</v>
      </c>
      <c r="J112" s="787">
        <v>20.900151000000001</v>
      </c>
      <c r="K112" s="523" t="str">
        <f>IF(I112&gt;E112,"Limpas","")</f>
        <v/>
      </c>
      <c r="L112" s="519"/>
      <c r="M112" s="226"/>
      <c r="AB112"/>
      <c r="AC112"/>
      <c r="AD112"/>
      <c r="AE112"/>
      <c r="AF112"/>
      <c r="AG112"/>
      <c r="AH112"/>
      <c r="AI112"/>
      <c r="AJ112"/>
      <c r="AK112"/>
      <c r="AL112"/>
      <c r="AM112"/>
      <c r="AN112"/>
      <c r="AO112"/>
      <c r="AP112" s="363"/>
      <c r="AQ112" s="375">
        <f t="shared" si="22"/>
        <v>45</v>
      </c>
      <c r="AR112">
        <f t="shared" si="25"/>
        <v>651.95000000000005</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334.94</v>
      </c>
      <c r="J113" s="789">
        <v>3.895</v>
      </c>
      <c r="K113" s="523" t="str">
        <f>IF(I113&gt;E113,"Limpas","")</f>
        <v/>
      </c>
      <c r="L113" s="526"/>
      <c r="M113" s="226"/>
      <c r="AB113"/>
      <c r="AC113"/>
      <c r="AD113"/>
      <c r="AE113"/>
      <c r="AF113"/>
      <c r="AG113"/>
      <c r="AH113"/>
      <c r="AI113"/>
      <c r="AJ113"/>
      <c r="AK113"/>
      <c r="AL113"/>
      <c r="AM113"/>
      <c r="AN113"/>
      <c r="AO113"/>
      <c r="AP113" s="363"/>
      <c r="AQ113" s="375">
        <f t="shared" si="22"/>
        <v>46</v>
      </c>
      <c r="AR113">
        <f t="shared" si="25"/>
        <v>664.97</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77.5</v>
      </c>
      <c r="J114" s="789">
        <v>49.020274999999998</v>
      </c>
      <c r="K114" s="523" t="str">
        <f>IF(I114&gt;E114,"Limpas","")</f>
        <v/>
      </c>
      <c r="L114" s="526"/>
      <c r="M114" s="541"/>
      <c r="AB114"/>
      <c r="AC114"/>
      <c r="AD114"/>
      <c r="AE114"/>
      <c r="AF114"/>
      <c r="AG114"/>
      <c r="AH114"/>
      <c r="AI114"/>
      <c r="AJ114"/>
      <c r="AK114"/>
      <c r="AL114"/>
      <c r="AM114"/>
      <c r="AN114"/>
      <c r="AO114"/>
      <c r="AP114" s="363"/>
      <c r="AQ114" s="375">
        <f t="shared" si="22"/>
        <v>47</v>
      </c>
      <c r="AR114">
        <f t="shared" si="25"/>
        <v>680.15</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462.05</v>
      </c>
      <c r="J115" s="789">
        <v>29.786999999999999</v>
      </c>
      <c r="K115" s="523" t="str">
        <f t="shared" ref="K115:K121" si="27">IF(I115&gt;E115,"Limpas","")</f>
        <v/>
      </c>
      <c r="L115" s="527"/>
      <c r="M115" s="226"/>
      <c r="AB115"/>
      <c r="AC115"/>
      <c r="AD115"/>
      <c r="AE115"/>
      <c r="AF115"/>
      <c r="AG115"/>
      <c r="AH115"/>
      <c r="AI115"/>
      <c r="AJ115"/>
      <c r="AK115"/>
      <c r="AL115"/>
      <c r="AM115"/>
      <c r="AN115"/>
      <c r="AO115"/>
      <c r="AP115" s="363"/>
      <c r="AQ115" s="375">
        <f t="shared" si="22"/>
        <v>48</v>
      </c>
      <c r="AR115">
        <f t="shared" si="25"/>
        <v>700.34</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52">
        <v>203</v>
      </c>
      <c r="J116" s="798">
        <v>5.3959999999999999</v>
      </c>
      <c r="K116" s="523" t="str">
        <f t="shared" si="27"/>
        <v/>
      </c>
      <c r="L116" s="528"/>
      <c r="AB116"/>
      <c r="AC116"/>
      <c r="AD116"/>
      <c r="AE116"/>
      <c r="AF116"/>
      <c r="AG116"/>
      <c r="AH116"/>
      <c r="AI116"/>
      <c r="AJ116"/>
      <c r="AK116"/>
      <c r="AL116"/>
      <c r="AM116"/>
      <c r="AN116"/>
      <c r="AO116"/>
      <c r="AP116" s="363"/>
      <c r="AQ116" s="375">
        <f t="shared" si="22"/>
        <v>49</v>
      </c>
      <c r="AR116">
        <f t="shared" si="25"/>
        <v>0</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52">
        <v>313.85000000000002</v>
      </c>
      <c r="J117" s="798">
        <v>2.488</v>
      </c>
      <c r="K117" s="523" t="str">
        <f t="shared" si="27"/>
        <v/>
      </c>
      <c r="L117" s="529"/>
      <c r="AB117"/>
      <c r="AC117"/>
      <c r="AD117"/>
      <c r="AE117"/>
      <c r="AF117"/>
      <c r="AG117"/>
      <c r="AH117"/>
      <c r="AI117"/>
      <c r="AJ117"/>
      <c r="AK117"/>
      <c r="AL117"/>
      <c r="AM117"/>
      <c r="AN117"/>
      <c r="AO117"/>
      <c r="AP117" s="363"/>
      <c r="AQ117" s="375">
        <f t="shared" si="22"/>
        <v>50</v>
      </c>
      <c r="AR117">
        <f t="shared" si="25"/>
        <v>0</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52">
        <v>77</v>
      </c>
      <c r="J118" s="798">
        <v>208.53427505328719</v>
      </c>
      <c r="K118" s="523" t="str">
        <f t="shared" si="27"/>
        <v/>
      </c>
      <c r="L118" s="528"/>
      <c r="AB118"/>
      <c r="AC118"/>
      <c r="AD118"/>
      <c r="AE118"/>
      <c r="AF118"/>
      <c r="AG118"/>
      <c r="AH118"/>
      <c r="AI118"/>
      <c r="AJ118"/>
      <c r="AK118"/>
      <c r="AL118"/>
      <c r="AM118"/>
      <c r="AN118"/>
      <c r="AO118"/>
      <c r="AP118" s="363"/>
      <c r="AQ118" s="375">
        <f t="shared" si="22"/>
        <v>51</v>
      </c>
      <c r="AR118">
        <f t="shared" si="25"/>
        <v>0</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115.93</v>
      </c>
      <c r="J119" s="798">
        <v>0.504</v>
      </c>
      <c r="K119" s="523" t="str">
        <f t="shared" si="27"/>
        <v/>
      </c>
      <c r="L119" s="530"/>
      <c r="AB119"/>
      <c r="AC119"/>
      <c r="AD119"/>
      <c r="AE119"/>
      <c r="AF119"/>
      <c r="AG119"/>
      <c r="AH119"/>
      <c r="AI119"/>
      <c r="AJ119"/>
      <c r="AK119"/>
      <c r="AL119"/>
      <c r="AM119"/>
      <c r="AN119"/>
      <c r="AO119"/>
      <c r="AP119" s="363"/>
      <c r="AQ119" s="375">
        <f t="shared" si="22"/>
        <v>52</v>
      </c>
      <c r="AR119">
        <f t="shared" si="25"/>
        <v>0</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52">
        <v>115.85</v>
      </c>
      <c r="J120" s="798">
        <v>0.22900000000000001</v>
      </c>
      <c r="K120" s="523" t="str">
        <f t="shared" si="27"/>
        <v/>
      </c>
      <c r="L120" s="528"/>
      <c r="AB120"/>
      <c r="AC120"/>
      <c r="AD120"/>
      <c r="AE120"/>
      <c r="AF120"/>
      <c r="AG120"/>
      <c r="AH120"/>
      <c r="AI120"/>
      <c r="AJ120"/>
      <c r="AK120"/>
      <c r="AL120"/>
      <c r="AM120"/>
      <c r="AN120"/>
      <c r="AO120"/>
      <c r="AP120" s="363"/>
      <c r="AQ120" s="375">
        <f t="shared" si="22"/>
        <v>53</v>
      </c>
      <c r="AR120">
        <f t="shared" si="25"/>
        <v>0</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52">
        <v>40.64</v>
      </c>
      <c r="J121" s="888">
        <v>0.72799999999999998</v>
      </c>
      <c r="K121" s="523" t="str">
        <f t="shared" si="27"/>
        <v/>
      </c>
      <c r="L121" s="528"/>
      <c r="AB121"/>
      <c r="AC121"/>
      <c r="AD121"/>
      <c r="AE121"/>
      <c r="AF121"/>
      <c r="AG121"/>
      <c r="AH121"/>
      <c r="AI121"/>
      <c r="AJ121"/>
      <c r="AK121"/>
      <c r="AL121"/>
      <c r="AM121"/>
      <c r="AN121"/>
      <c r="AO121"/>
      <c r="AP121" s="363"/>
      <c r="AQ121" s="375">
        <f t="shared" si="22"/>
        <v>54</v>
      </c>
      <c r="AR121">
        <f t="shared" si="25"/>
        <v>0</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53">
        <v>45.31</v>
      </c>
      <c r="J122" s="798">
        <v>0.55700000000000005</v>
      </c>
      <c r="K122" s="523" t="str">
        <f t="shared" ref="K122:K148" si="28">IF(I122&gt;E122,"Limpas","")</f>
        <v/>
      </c>
      <c r="L122" s="528"/>
      <c r="AB122"/>
      <c r="AC122"/>
      <c r="AD122"/>
      <c r="AE122"/>
      <c r="AF122"/>
      <c r="AG122"/>
      <c r="AH122"/>
      <c r="AI122"/>
      <c r="AJ122"/>
      <c r="AK122"/>
      <c r="AL122"/>
      <c r="AM122"/>
      <c r="AN122"/>
      <c r="AO122"/>
      <c r="AP122" s="363"/>
      <c r="AQ122" s="375">
        <f t="shared" si="22"/>
        <v>55</v>
      </c>
      <c r="AR122">
        <f t="shared" si="25"/>
        <v>0</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52">
        <v>74.260000000000005</v>
      </c>
      <c r="J123" s="798">
        <v>0.23100000000000001</v>
      </c>
      <c r="K123" s="523" t="str">
        <f t="shared" si="28"/>
        <v/>
      </c>
      <c r="L123" s="528"/>
      <c r="AB123"/>
      <c r="AC123"/>
      <c r="AD123"/>
      <c r="AE123"/>
      <c r="AF123"/>
      <c r="AG123"/>
      <c r="AH123"/>
      <c r="AI123"/>
      <c r="AJ123"/>
      <c r="AK123"/>
      <c r="AL123"/>
      <c r="AM123"/>
      <c r="AN123"/>
      <c r="AO123"/>
      <c r="AP123" s="363"/>
      <c r="AQ123" s="375">
        <f t="shared" si="22"/>
        <v>56</v>
      </c>
      <c r="AR123">
        <f t="shared" si="25"/>
        <v>0</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52">
        <v>81.55</v>
      </c>
      <c r="J124" s="798">
        <v>0.25</v>
      </c>
      <c r="K124" s="523" t="str">
        <f t="shared" si="28"/>
        <v/>
      </c>
      <c r="L124" s="528"/>
      <c r="AB124"/>
      <c r="AC124"/>
      <c r="AD124"/>
      <c r="AE124"/>
      <c r="AF124"/>
      <c r="AG124"/>
      <c r="AH124"/>
      <c r="AI124"/>
      <c r="AJ124"/>
      <c r="AK124"/>
      <c r="AL124"/>
      <c r="AM124"/>
      <c r="AN124"/>
      <c r="AO124"/>
      <c r="AP124" s="363"/>
      <c r="AQ124" s="375">
        <f t="shared" si="22"/>
        <v>57</v>
      </c>
      <c r="AR124">
        <f t="shared" si="25"/>
        <v>0</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52">
        <v>69.52</v>
      </c>
      <c r="J125" s="798">
        <v>0.125</v>
      </c>
      <c r="K125" s="523" t="str">
        <f t="shared" si="28"/>
        <v/>
      </c>
      <c r="L125" s="528"/>
      <c r="AB125"/>
      <c r="AC125"/>
      <c r="AD125"/>
      <c r="AE125"/>
      <c r="AF125"/>
      <c r="AG125"/>
      <c r="AH125"/>
      <c r="AI125"/>
      <c r="AJ125"/>
      <c r="AK125"/>
      <c r="AL125"/>
      <c r="AM125"/>
      <c r="AN125"/>
      <c r="AO125"/>
      <c r="AP125" s="363"/>
      <c r="AQ125" s="375">
        <f t="shared" si="22"/>
        <v>58</v>
      </c>
      <c r="AR125">
        <f t="shared" si="25"/>
        <v>0</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52">
        <v>46.5</v>
      </c>
      <c r="J126" s="798">
        <v>0.32100000000000001</v>
      </c>
      <c r="K126" s="523" t="str">
        <f t="shared" si="28"/>
        <v/>
      </c>
      <c r="L126" s="528"/>
      <c r="AB126"/>
      <c r="AC126"/>
      <c r="AD126"/>
      <c r="AE126"/>
      <c r="AF126"/>
      <c r="AG126"/>
      <c r="AH126"/>
      <c r="AI126"/>
      <c r="AJ126"/>
      <c r="AK126"/>
      <c r="AL126"/>
      <c r="AM126"/>
      <c r="AN126"/>
      <c r="AO126"/>
      <c r="AP126" s="363"/>
      <c r="AQ126" s="375">
        <f t="shared" si="22"/>
        <v>59</v>
      </c>
      <c r="AR126">
        <f t="shared" si="25"/>
        <v>0</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129.03</v>
      </c>
      <c r="J127" s="798">
        <v>95.253</v>
      </c>
      <c r="K127" s="523" t="str">
        <f t="shared" si="28"/>
        <v/>
      </c>
      <c r="L127" s="531"/>
      <c r="M127" s="226"/>
      <c r="AB127"/>
      <c r="AC127"/>
      <c r="AD127"/>
      <c r="AE127"/>
      <c r="AF127"/>
      <c r="AG127"/>
      <c r="AH127"/>
      <c r="AI127"/>
      <c r="AJ127"/>
      <c r="AK127"/>
      <c r="AL127"/>
      <c r="AM127"/>
      <c r="AN127"/>
      <c r="AO127"/>
      <c r="AP127" s="363"/>
      <c r="AQ127" s="375">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108.41</v>
      </c>
      <c r="J128" s="798">
        <v>0.214</v>
      </c>
      <c r="K128" s="523">
        <v>480.10199999999998</v>
      </c>
      <c r="L128" s="531"/>
      <c r="M128" s="226"/>
      <c r="AB128"/>
      <c r="AC128"/>
      <c r="AD128"/>
      <c r="AE128"/>
      <c r="AF128"/>
      <c r="AG128"/>
      <c r="AH128"/>
      <c r="AI128"/>
      <c r="AJ128"/>
      <c r="AK128"/>
      <c r="AL128"/>
      <c r="AM128"/>
      <c r="AN128"/>
      <c r="AO128"/>
      <c r="AP128" s="363"/>
      <c r="AQ128" s="375">
        <f>AQ127+1</f>
        <v>62</v>
      </c>
      <c r="AR128">
        <f t="shared" si="29"/>
        <v>0</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200.28</v>
      </c>
      <c r="J129" s="798">
        <v>5.2999999999999999E-2</v>
      </c>
      <c r="K129" s="523" t="str">
        <f t="shared" si="28"/>
        <v/>
      </c>
      <c r="L129" s="531"/>
      <c r="M129" s="226"/>
      <c r="AB129"/>
      <c r="AC129"/>
      <c r="AD129"/>
      <c r="AE129"/>
      <c r="AF129"/>
      <c r="AG129"/>
      <c r="AH129"/>
      <c r="AI129"/>
      <c r="AJ129"/>
      <c r="AK129"/>
      <c r="AL129"/>
      <c r="AM129"/>
      <c r="AN129"/>
      <c r="AO129"/>
      <c r="AP129" s="363"/>
      <c r="AQ129" s="375">
        <f>AQ128+1</f>
        <v>63</v>
      </c>
      <c r="AR129">
        <f t="shared" si="29"/>
        <v>0</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220</v>
      </c>
      <c r="J130" s="800">
        <v>0.28499999999999998</v>
      </c>
      <c r="K130" s="523" t="str">
        <f t="shared" si="28"/>
        <v/>
      </c>
      <c r="L130" s="532"/>
      <c r="M130" s="226"/>
      <c r="AB130"/>
      <c r="AC130"/>
      <c r="AD130"/>
      <c r="AE130"/>
      <c r="AF130"/>
      <c r="AG130"/>
      <c r="AH130"/>
      <c r="AI130"/>
      <c r="AJ130"/>
      <c r="AK130"/>
      <c r="AL130"/>
      <c r="AM130"/>
      <c r="AN130"/>
      <c r="AO130"/>
      <c r="AP130" s="363"/>
      <c r="AQ130" s="375">
        <f>AQ129+1</f>
        <v>64</v>
      </c>
      <c r="AR130">
        <f t="shared" si="29"/>
        <v>0</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196.13</v>
      </c>
      <c r="J131" s="798">
        <v>0.47199999999999998</v>
      </c>
      <c r="K131" s="523" t="str">
        <f t="shared" si="28"/>
        <v>Limpas</v>
      </c>
      <c r="L131" s="531"/>
      <c r="M131" s="226"/>
      <c r="AB131"/>
      <c r="AC131"/>
      <c r="AD131"/>
      <c r="AE131"/>
      <c r="AF131"/>
      <c r="AG131"/>
      <c r="AH131"/>
      <c r="AI131"/>
      <c r="AJ131"/>
      <c r="AK131"/>
      <c r="AL131"/>
      <c r="AM131"/>
      <c r="AN131"/>
      <c r="AO131"/>
      <c r="AP131" s="363"/>
      <c r="AQ131" s="375">
        <f>AQ130+1</f>
        <v>65</v>
      </c>
      <c r="AR131">
        <f t="shared" si="29"/>
        <v>0</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169.25</v>
      </c>
      <c r="J132" s="798">
        <v>8.6999999999999994E-2</v>
      </c>
      <c r="K132" s="523">
        <v>226.68</v>
      </c>
      <c r="L132" s="531"/>
      <c r="M132" s="226"/>
      <c r="AB132"/>
      <c r="AC132"/>
      <c r="AD132"/>
      <c r="AE132"/>
      <c r="AF132"/>
      <c r="AG132"/>
      <c r="AH132"/>
      <c r="AI132"/>
      <c r="AJ132"/>
      <c r="AK132"/>
      <c r="AL132"/>
      <c r="AM132"/>
      <c r="AN132"/>
      <c r="AO132"/>
      <c r="AP132" s="363"/>
      <c r="AQ132" s="375">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218.63</v>
      </c>
      <c r="J133" s="801">
        <v>0.06</v>
      </c>
      <c r="K133" s="523">
        <v>26.036999999999999</v>
      </c>
      <c r="L133" s="532"/>
      <c r="M133" s="226"/>
      <c r="AB133"/>
      <c r="AC133"/>
      <c r="AD133"/>
      <c r="AE133"/>
      <c r="AF133"/>
      <c r="AG133"/>
      <c r="AH133"/>
      <c r="AI133"/>
      <c r="AJ133"/>
      <c r="AK133"/>
      <c r="AL133"/>
      <c r="AM133"/>
      <c r="AN133"/>
      <c r="AO133"/>
      <c r="AP133" s="363"/>
      <c r="AQ133" s="375">
        <f t="shared" si="30"/>
        <v>67</v>
      </c>
      <c r="AR133">
        <f t="shared" si="29"/>
        <v>0</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240.75</v>
      </c>
      <c r="J134" s="800">
        <v>0.30299999999999999</v>
      </c>
      <c r="K134" s="523">
        <v>235.744</v>
      </c>
      <c r="L134" s="532"/>
      <c r="M134" s="226"/>
      <c r="AB134"/>
      <c r="AC134"/>
      <c r="AD134"/>
      <c r="AE134"/>
      <c r="AF134"/>
      <c r="AG134"/>
      <c r="AH134"/>
      <c r="AI134"/>
      <c r="AJ134"/>
      <c r="AK134"/>
      <c r="AL134"/>
      <c r="AM134"/>
      <c r="AN134"/>
      <c r="AO134"/>
      <c r="AP134" s="363"/>
      <c r="AQ134" s="375">
        <f t="shared" si="30"/>
        <v>68</v>
      </c>
      <c r="AR134">
        <f t="shared" si="29"/>
        <v>0</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146.69999999999999</v>
      </c>
      <c r="J135" s="800">
        <v>1.456</v>
      </c>
      <c r="K135" s="523" t="str">
        <f t="shared" si="28"/>
        <v/>
      </c>
      <c r="L135" s="532"/>
      <c r="M135" s="226"/>
      <c r="AB135"/>
      <c r="AC135"/>
      <c r="AD135"/>
      <c r="AE135"/>
      <c r="AF135"/>
      <c r="AG135"/>
      <c r="AH135"/>
      <c r="AI135"/>
      <c r="AJ135"/>
      <c r="AK135"/>
      <c r="AL135"/>
      <c r="AM135"/>
      <c r="AN135"/>
      <c r="AO135"/>
      <c r="AP135" s="363"/>
      <c r="AQ135" s="375">
        <f t="shared" si="30"/>
        <v>69</v>
      </c>
      <c r="AR135">
        <f t="shared" si="29"/>
        <v>0</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232.22</v>
      </c>
      <c r="J136" s="798">
        <v>3.1989999999999998</v>
      </c>
      <c r="K136" s="523">
        <v>500</v>
      </c>
      <c r="L136" s="531"/>
      <c r="M136" s="226"/>
      <c r="AB136"/>
      <c r="AC136"/>
      <c r="AD136"/>
      <c r="AE136"/>
      <c r="AF136"/>
      <c r="AG136"/>
      <c r="AH136"/>
      <c r="AI136"/>
      <c r="AJ136"/>
      <c r="AK136"/>
      <c r="AL136"/>
      <c r="AM136"/>
      <c r="AN136"/>
      <c r="AO136"/>
      <c r="AP136" s="363"/>
      <c r="AQ136" s="375">
        <f t="shared" si="30"/>
        <v>70</v>
      </c>
      <c r="AR136">
        <f t="shared" si="29"/>
        <v>0</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325.5</v>
      </c>
      <c r="J137" s="800">
        <v>0.69499999999999995</v>
      </c>
      <c r="K137" s="523" t="str">
        <f t="shared" si="28"/>
        <v/>
      </c>
      <c r="L137" s="532"/>
      <c r="M137" s="226"/>
      <c r="AB137"/>
      <c r="AC137"/>
      <c r="AD137"/>
      <c r="AE137"/>
      <c r="AF137"/>
      <c r="AG137"/>
      <c r="AH137"/>
      <c r="AI137"/>
      <c r="AJ137"/>
      <c r="AK137"/>
      <c r="AL137"/>
      <c r="AM137"/>
      <c r="AN137"/>
      <c r="AO137"/>
      <c r="AP137" s="363"/>
      <c r="AQ137" s="375">
        <f t="shared" si="30"/>
        <v>71</v>
      </c>
      <c r="AR137">
        <f t="shared" si="29"/>
        <v>0</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798">
        <v>0.5</v>
      </c>
      <c r="K138" s="523">
        <v>275.45699999999999</v>
      </c>
      <c r="L138" s="531"/>
      <c r="M138" s="226"/>
      <c r="AB138"/>
      <c r="AC138"/>
      <c r="AD138"/>
      <c r="AE138"/>
      <c r="AF138"/>
      <c r="AG138"/>
      <c r="AH138"/>
      <c r="AI138"/>
      <c r="AJ138"/>
      <c r="AK138"/>
      <c r="AL138"/>
      <c r="AM138"/>
      <c r="AN138"/>
      <c r="AO138"/>
      <c r="AP138" s="363"/>
      <c r="AQ138" s="375">
        <f t="shared" si="30"/>
        <v>72</v>
      </c>
      <c r="AR138">
        <f t="shared" si="29"/>
        <v>0</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282.77999999999997</v>
      </c>
      <c r="J139" s="798">
        <v>0.51300000000000001</v>
      </c>
      <c r="K139" s="523" t="str">
        <f t="shared" si="28"/>
        <v/>
      </c>
      <c r="L139" s="531"/>
      <c r="M139" s="226"/>
      <c r="AB139"/>
      <c r="AC139"/>
      <c r="AD139"/>
      <c r="AE139"/>
      <c r="AF139"/>
      <c r="AG139"/>
      <c r="AH139"/>
      <c r="AI139"/>
      <c r="AJ139"/>
      <c r="AK139"/>
      <c r="AL139"/>
      <c r="AM139"/>
      <c r="AN139"/>
      <c r="AO139"/>
      <c r="AP139" s="363"/>
      <c r="AQ139" s="375">
        <f t="shared" si="30"/>
        <v>73</v>
      </c>
      <c r="AR139">
        <f t="shared" si="29"/>
        <v>0</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97.15</v>
      </c>
      <c r="J140" s="800">
        <v>0.60499999999999998</v>
      </c>
      <c r="K140" s="523" t="str">
        <f t="shared" si="28"/>
        <v/>
      </c>
      <c r="L140" s="532"/>
      <c r="M140" s="226"/>
      <c r="AB140"/>
      <c r="AC140"/>
      <c r="AD140"/>
      <c r="AE140"/>
      <c r="AF140"/>
      <c r="AG140"/>
      <c r="AH140"/>
      <c r="AI140"/>
      <c r="AJ140"/>
      <c r="AK140"/>
      <c r="AL140"/>
      <c r="AM140"/>
      <c r="AN140"/>
      <c r="AO140"/>
      <c r="AP140" s="363"/>
      <c r="AQ140" s="375">
        <f t="shared" si="30"/>
        <v>74</v>
      </c>
      <c r="AR140">
        <f t="shared" si="29"/>
        <v>0</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189.15</v>
      </c>
      <c r="J141" s="800">
        <v>6.6000000000000003E-2</v>
      </c>
      <c r="K141" s="523" t="str">
        <f t="shared" si="28"/>
        <v/>
      </c>
      <c r="L141" s="532"/>
      <c r="M141" s="226"/>
      <c r="AB141"/>
      <c r="AC141"/>
      <c r="AD141"/>
      <c r="AE141"/>
      <c r="AF141"/>
      <c r="AG141"/>
      <c r="AH141"/>
      <c r="AI141"/>
      <c r="AJ141"/>
      <c r="AK141"/>
      <c r="AL141"/>
      <c r="AM141"/>
      <c r="AN141"/>
      <c r="AO141"/>
      <c r="AP141" s="363"/>
      <c r="AQ141" s="375">
        <f t="shared" si="30"/>
        <v>75</v>
      </c>
      <c r="AR141">
        <f t="shared" si="29"/>
        <v>0</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171.39</v>
      </c>
      <c r="J142" s="800">
        <v>0.10100000000000001</v>
      </c>
      <c r="K142" s="523">
        <v>8.4770000000000003</v>
      </c>
      <c r="L142" s="532"/>
      <c r="M142" s="226"/>
      <c r="AB142"/>
      <c r="AC142"/>
      <c r="AD142"/>
      <c r="AE142"/>
      <c r="AF142"/>
      <c r="AG142"/>
      <c r="AH142"/>
      <c r="AI142"/>
      <c r="AJ142"/>
      <c r="AK142"/>
      <c r="AL142"/>
      <c r="AM142"/>
      <c r="AN142"/>
      <c r="AO142"/>
      <c r="AP142" s="363"/>
      <c r="AQ142" s="375">
        <f t="shared" si="30"/>
        <v>76</v>
      </c>
      <c r="AR142">
        <f t="shared" si="29"/>
        <v>0</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151.13</v>
      </c>
      <c r="J143" s="802">
        <v>4.2309999999999999</v>
      </c>
      <c r="K143" s="523" t="str">
        <f>IF(I143&gt;E143,"Limpas","")</f>
        <v>Limpas</v>
      </c>
      <c r="L143" s="533"/>
      <c r="M143" s="226"/>
      <c r="AB143"/>
      <c r="AC143"/>
      <c r="AD143"/>
      <c r="AE143"/>
      <c r="AF143"/>
      <c r="AG143"/>
      <c r="AH143"/>
      <c r="AI143"/>
      <c r="AJ143"/>
      <c r="AK143"/>
      <c r="AL143"/>
      <c r="AM143"/>
      <c r="AN143"/>
      <c r="AO143"/>
      <c r="AP143" s="363"/>
      <c r="AQ143" s="375">
        <f t="shared" si="30"/>
        <v>77</v>
      </c>
      <c r="AR143">
        <f t="shared" si="29"/>
        <v>0</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236.65</v>
      </c>
      <c r="J144" s="802">
        <v>1.214</v>
      </c>
      <c r="K144" s="523" t="str">
        <f t="shared" si="28"/>
        <v/>
      </c>
      <c r="L144" s="533"/>
      <c r="M144" s="226"/>
      <c r="AB144"/>
      <c r="AC144"/>
      <c r="AD144"/>
      <c r="AE144"/>
      <c r="AF144"/>
      <c r="AG144"/>
      <c r="AH144"/>
      <c r="AI144"/>
      <c r="AJ144"/>
      <c r="AK144"/>
      <c r="AL144"/>
      <c r="AM144"/>
      <c r="AN144"/>
      <c r="AO144"/>
      <c r="AP144" s="363"/>
      <c r="AQ144" s="375">
        <f t="shared" si="30"/>
        <v>78</v>
      </c>
      <c r="AR144">
        <f t="shared" si="29"/>
        <v>0</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120.75</v>
      </c>
      <c r="J145" s="798">
        <v>4.1539999999999999</v>
      </c>
      <c r="K145" s="523" t="str">
        <f t="shared" si="28"/>
        <v>Limpas</v>
      </c>
      <c r="L145" s="531"/>
      <c r="M145" s="226"/>
      <c r="AB145"/>
      <c r="AC145"/>
      <c r="AD145"/>
      <c r="AE145">
        <v>1</v>
      </c>
      <c r="AF145"/>
      <c r="AG145"/>
      <c r="AH145"/>
      <c r="AI145"/>
      <c r="AJ145"/>
      <c r="AK145"/>
      <c r="AL145"/>
      <c r="AM145"/>
      <c r="AN145"/>
      <c r="AO145"/>
      <c r="AP145" s="363"/>
      <c r="AQ145" s="375">
        <f t="shared" si="30"/>
        <v>79</v>
      </c>
      <c r="AR145">
        <f t="shared" si="29"/>
        <v>0</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109.57</v>
      </c>
      <c r="J146" s="798">
        <v>1.3660000000000001</v>
      </c>
      <c r="K146" s="523" t="str">
        <f t="shared" si="28"/>
        <v/>
      </c>
      <c r="L146" s="531"/>
      <c r="M146" s="226"/>
      <c r="AB146"/>
      <c r="AC146"/>
      <c r="AD146"/>
      <c r="AE146"/>
      <c r="AF146"/>
      <c r="AG146"/>
      <c r="AH146"/>
      <c r="AI146"/>
      <c r="AJ146"/>
      <c r="AK146"/>
      <c r="AL146"/>
      <c r="AM146"/>
      <c r="AN146"/>
      <c r="AO146"/>
      <c r="AP146" s="363"/>
      <c r="AQ146" s="375">
        <f t="shared" si="30"/>
        <v>80</v>
      </c>
      <c r="AR146">
        <f t="shared" si="29"/>
        <v>0</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64.290000000000006</v>
      </c>
      <c r="J147" s="789">
        <v>21.937999999999999</v>
      </c>
      <c r="K147" s="523">
        <v>31.690999999999999</v>
      </c>
      <c r="L147" s="533"/>
      <c r="M147" s="226"/>
      <c r="AB147"/>
      <c r="AC147"/>
      <c r="AD147"/>
      <c r="AE147"/>
      <c r="AF147"/>
      <c r="AG147"/>
      <c r="AH147"/>
      <c r="AI147"/>
      <c r="AJ147"/>
      <c r="AK147"/>
      <c r="AL147"/>
      <c r="AM147"/>
      <c r="AN147"/>
      <c r="AO147"/>
      <c r="AP147" s="363"/>
      <c r="AQ147" s="375">
        <f t="shared" si="30"/>
        <v>81</v>
      </c>
      <c r="AR147">
        <f t="shared" si="29"/>
        <v>0</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594">
        <v>162.94999999999999</v>
      </c>
      <c r="J148" s="799">
        <v>183.37</v>
      </c>
      <c r="K148" s="523" t="str">
        <f t="shared" si="28"/>
        <v/>
      </c>
      <c r="L148" s="533"/>
      <c r="M148" s="226"/>
      <c r="AB148"/>
      <c r="AC148"/>
      <c r="AD148"/>
      <c r="AE148"/>
      <c r="AF148"/>
      <c r="AG148"/>
      <c r="AH148"/>
      <c r="AI148"/>
      <c r="AJ148"/>
      <c r="AK148"/>
      <c r="AL148"/>
      <c r="AM148"/>
      <c r="AN148"/>
      <c r="AO148"/>
      <c r="AP148" s="363"/>
      <c r="AQ148" s="375">
        <f t="shared" si="30"/>
        <v>82</v>
      </c>
      <c r="AR148">
        <f t="shared" si="29"/>
        <v>0</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229.63</v>
      </c>
      <c r="J149" s="789">
        <v>10.039999999999999</v>
      </c>
      <c r="K149" s="523" t="str">
        <f>IF(I149&gt;E149,"Limpas","")</f>
        <v/>
      </c>
      <c r="L149" s="533"/>
      <c r="M149" s="520"/>
      <c r="AB149"/>
      <c r="AC149"/>
      <c r="AD149"/>
      <c r="AE149"/>
      <c r="AF149"/>
      <c r="AG149"/>
      <c r="AH149"/>
      <c r="AI149"/>
      <c r="AJ149"/>
      <c r="AK149"/>
      <c r="AL149"/>
      <c r="AM149"/>
      <c r="AN149"/>
      <c r="AO149"/>
      <c r="AP149" s="363"/>
      <c r="AQ149" s="375">
        <f t="shared" si="30"/>
        <v>83</v>
      </c>
      <c r="AR149">
        <f t="shared" si="29"/>
        <v>0</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149.31</v>
      </c>
      <c r="J150" s="810">
        <v>10.93</v>
      </c>
      <c r="K150" s="397" t="s">
        <v>233</v>
      </c>
      <c r="L150" s="534"/>
      <c r="M150" s="226"/>
      <c r="AB150"/>
      <c r="AC150"/>
      <c r="AD150"/>
      <c r="AE150"/>
      <c r="AF150"/>
      <c r="AG150"/>
      <c r="AH150"/>
      <c r="AI150"/>
      <c r="AJ150"/>
      <c r="AK150"/>
      <c r="AL150"/>
      <c r="AM150"/>
      <c r="AN150"/>
      <c r="AO150"/>
      <c r="AP150" s="363"/>
      <c r="AQ150" s="375">
        <f t="shared" si="30"/>
        <v>84</v>
      </c>
      <c r="AR150">
        <f t="shared" si="29"/>
        <v>0</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23">
        <v>35.24</v>
      </c>
      <c r="J151" s="802">
        <v>0.14299999999999999</v>
      </c>
      <c r="K151" s="397" t="s">
        <v>204</v>
      </c>
      <c r="L151" s="534"/>
      <c r="AB151"/>
      <c r="AC151"/>
      <c r="AD151"/>
      <c r="AE151"/>
      <c r="AF151"/>
      <c r="AG151"/>
      <c r="AH151"/>
      <c r="AI151"/>
      <c r="AJ151"/>
      <c r="AK151"/>
      <c r="AL151"/>
      <c r="AM151"/>
      <c r="AN151"/>
      <c r="AO151"/>
      <c r="AP151" s="363"/>
      <c r="AQ151" s="375">
        <f t="shared" si="30"/>
        <v>85</v>
      </c>
      <c r="AR151">
        <f t="shared" si="29"/>
        <v>0</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52">
        <v>70.05</v>
      </c>
      <c r="J152" s="802">
        <v>0.752</v>
      </c>
      <c r="K152" s="397"/>
      <c r="L152" s="534"/>
      <c r="AB152"/>
      <c r="AC152"/>
      <c r="AD152"/>
      <c r="AE152"/>
      <c r="AF152"/>
      <c r="AG152"/>
      <c r="AH152"/>
      <c r="AI152"/>
      <c r="AJ152"/>
      <c r="AK152"/>
      <c r="AL152"/>
      <c r="AM152"/>
      <c r="AN152"/>
      <c r="AO152"/>
      <c r="AP152" s="363"/>
      <c r="AQ152" s="375">
        <f t="shared" si="30"/>
        <v>86</v>
      </c>
      <c r="AR152">
        <f t="shared" si="29"/>
        <v>0</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664.96570105328703</v>
      </c>
      <c r="K153" s="402"/>
      <c r="L153" s="795"/>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15" t="s">
        <v>69</v>
      </c>
      <c r="D154" s="515"/>
      <c r="E154" s="431"/>
      <c r="F154" s="428"/>
      <c r="G154" s="429"/>
      <c r="H154" s="430">
        <v>1</v>
      </c>
      <c r="I154" s="431"/>
      <c r="J154" s="357">
        <f>IFERROR(+J153/H153,0)</f>
        <v>1.0908462632131048</v>
      </c>
      <c r="K154" s="404"/>
      <c r="L154" s="796"/>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5">
        <v>1736.79</v>
      </c>
      <c r="F155" s="432">
        <v>1</v>
      </c>
      <c r="G155" s="433" t="s">
        <v>68</v>
      </c>
      <c r="H155" s="432">
        <f>+H153/F153*100%</f>
        <v>0.33606752774420928</v>
      </c>
      <c r="I155" s="434"/>
      <c r="J155" s="358">
        <f>+J153/F153</f>
        <v>0.36659800682703714</v>
      </c>
      <c r="K155" s="409"/>
      <c r="L155" s="796"/>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0</v>
      </c>
      <c r="AS156">
        <f t="shared" si="31"/>
        <v>0</v>
      </c>
      <c r="AT156"/>
      <c r="AU156"/>
      <c r="AV156"/>
      <c r="AW156"/>
      <c r="AX156"/>
      <c r="AY156"/>
      <c r="AZ156"/>
      <c r="BA156"/>
      <c r="BB156"/>
      <c r="BC156"/>
      <c r="BD156"/>
      <c r="BE156"/>
    </row>
    <row r="157" spans="2:57" ht="27" customHeight="1" thickBot="1" x14ac:dyDescent="0.25">
      <c r="B157" s="390"/>
      <c r="C157" s="350"/>
      <c r="D157" s="350"/>
      <c r="E157" s="350"/>
      <c r="F157" s="391">
        <v>14</v>
      </c>
      <c r="G157" s="392" t="s">
        <v>277</v>
      </c>
      <c r="H157" s="581">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0</v>
      </c>
      <c r="AS157">
        <f t="shared" si="31"/>
        <v>0</v>
      </c>
      <c r="AT157"/>
      <c r="AU157"/>
      <c r="AV157"/>
      <c r="AW157"/>
      <c r="AX157"/>
      <c r="AY157"/>
      <c r="AZ157"/>
      <c r="BA157"/>
      <c r="BB157"/>
      <c r="BC157"/>
      <c r="BD157"/>
      <c r="BE157"/>
    </row>
    <row r="158" spans="2:57" ht="27" customHeight="1" x14ac:dyDescent="0.2">
      <c r="B158" s="512" t="s">
        <v>18</v>
      </c>
      <c r="C158" s="515" t="s">
        <v>19</v>
      </c>
      <c r="D158" s="515" t="s">
        <v>75</v>
      </c>
      <c r="E158" s="816" t="s">
        <v>20</v>
      </c>
      <c r="F158" s="817"/>
      <c r="G158" s="816" t="s">
        <v>96</v>
      </c>
      <c r="H158" s="817"/>
      <c r="I158" s="816" t="s">
        <v>22</v>
      </c>
      <c r="J158" s="817"/>
      <c r="K158" s="509" t="s">
        <v>168</v>
      </c>
      <c r="L158" s="416"/>
      <c r="M158" s="226"/>
      <c r="AB158"/>
      <c r="AC158"/>
      <c r="AD158"/>
      <c r="AE158"/>
      <c r="AF158"/>
      <c r="AG158"/>
      <c r="AH158"/>
      <c r="AI158"/>
      <c r="AJ158"/>
      <c r="AK158"/>
      <c r="AL158"/>
      <c r="AM158"/>
      <c r="AN158"/>
      <c r="AO158"/>
      <c r="AP158" s="363"/>
      <c r="AQ158" s="375">
        <f t="shared" si="30"/>
        <v>89</v>
      </c>
      <c r="AR158">
        <f>IF(AE35="tad","tad",AE35)</f>
        <v>0</v>
      </c>
      <c r="AS158">
        <f t="shared" si="31"/>
        <v>0</v>
      </c>
      <c r="AT158"/>
      <c r="AU158"/>
      <c r="AV158"/>
      <c r="AW158"/>
      <c r="AX158"/>
      <c r="AY158"/>
      <c r="AZ158"/>
      <c r="BA158"/>
      <c r="BB158"/>
      <c r="BC158"/>
      <c r="BD158"/>
      <c r="BE158"/>
    </row>
    <row r="159" spans="2:57" ht="27" customHeight="1" x14ac:dyDescent="0.2">
      <c r="B159" s="513"/>
      <c r="C159" s="516"/>
      <c r="D159" s="516"/>
      <c r="E159" s="352" t="s">
        <v>24</v>
      </c>
      <c r="F159" s="352" t="s">
        <v>25</v>
      </c>
      <c r="G159" s="351" t="s">
        <v>24</v>
      </c>
      <c r="H159" s="352" t="s">
        <v>25</v>
      </c>
      <c r="I159" s="351" t="s">
        <v>24</v>
      </c>
      <c r="J159" s="352" t="s">
        <v>25</v>
      </c>
      <c r="K159" s="510"/>
      <c r="L159" s="416"/>
      <c r="M159" s="226"/>
      <c r="AB159"/>
      <c r="AC159"/>
      <c r="AD159"/>
      <c r="AE159"/>
      <c r="AF159"/>
      <c r="AG159"/>
      <c r="AH159"/>
      <c r="AI159"/>
      <c r="AJ159"/>
      <c r="AK159"/>
      <c r="AL159"/>
      <c r="AM159"/>
      <c r="AN159"/>
      <c r="AO159"/>
      <c r="AP159" s="363"/>
      <c r="AQ159" s="375">
        <f t="shared" si="30"/>
        <v>90</v>
      </c>
      <c r="AR159">
        <f>IF(AE36="tad","tad",AE36)</f>
        <v>0</v>
      </c>
      <c r="AS159">
        <f t="shared" si="31"/>
        <v>0</v>
      </c>
      <c r="AT159"/>
      <c r="AU159"/>
      <c r="AV159"/>
      <c r="AW159"/>
      <c r="AX159"/>
      <c r="AY159"/>
      <c r="AZ159"/>
      <c r="BA159"/>
      <c r="BB159"/>
      <c r="BC159"/>
      <c r="BD159"/>
      <c r="BE159"/>
    </row>
    <row r="160" spans="2:57" ht="27" customHeight="1" thickBot="1" x14ac:dyDescent="0.25">
      <c r="B160" s="514"/>
      <c r="C160" s="517"/>
      <c r="D160" s="517"/>
      <c r="E160" s="354" t="s">
        <v>26</v>
      </c>
      <c r="F160" s="354" t="s">
        <v>157</v>
      </c>
      <c r="G160" s="353" t="s">
        <v>26</v>
      </c>
      <c r="H160" s="354" t="s">
        <v>157</v>
      </c>
      <c r="I160" s="353" t="s">
        <v>26</v>
      </c>
      <c r="J160" s="354" t="s">
        <v>157</v>
      </c>
      <c r="K160" s="511"/>
      <c r="L160" s="416"/>
      <c r="M160" s="226"/>
      <c r="AB160"/>
      <c r="AC160"/>
      <c r="AD160"/>
      <c r="AE160"/>
      <c r="AF160"/>
      <c r="AG160"/>
      <c r="AH160"/>
      <c r="AI160"/>
      <c r="AJ160"/>
      <c r="AK160"/>
      <c r="AL160"/>
      <c r="AM160"/>
      <c r="AN160"/>
      <c r="AO160"/>
      <c r="AP160" s="363"/>
      <c r="AQ160" s="375">
        <f t="shared" si="30"/>
        <v>91</v>
      </c>
      <c r="AR160">
        <f>IF(AE37="tad","tad",AE37)</f>
        <v>0</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53.94</v>
      </c>
      <c r="J162" s="787">
        <v>21.120450999999999</v>
      </c>
      <c r="K162" s="346">
        <v>0</v>
      </c>
      <c r="L162" s="552"/>
      <c r="M162" s="770"/>
      <c r="N162" s="539"/>
      <c r="AB162"/>
      <c r="AC162"/>
      <c r="AD162"/>
      <c r="AE162"/>
      <c r="AF162"/>
      <c r="AG162"/>
      <c r="AH162"/>
      <c r="AI162"/>
      <c r="AJ162"/>
      <c r="AK162"/>
      <c r="AL162"/>
      <c r="AM162"/>
      <c r="AN162"/>
      <c r="AO162"/>
      <c r="AP162" s="363"/>
      <c r="AQ162" s="375">
        <f t="shared" si="30"/>
        <v>93</v>
      </c>
      <c r="AR162">
        <f t="shared" si="32"/>
        <v>0</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334.85</v>
      </c>
      <c r="J163" s="789">
        <v>3.8250000000000002</v>
      </c>
      <c r="K163" s="346">
        <v>0</v>
      </c>
      <c r="L163" s="554"/>
      <c r="M163" s="771"/>
      <c r="N163" s="540"/>
      <c r="AB163"/>
      <c r="AC163"/>
      <c r="AD163"/>
      <c r="AE163"/>
      <c r="AF163"/>
      <c r="AG163"/>
      <c r="AH163"/>
      <c r="AI163"/>
      <c r="AJ163"/>
      <c r="AK163"/>
      <c r="AL163"/>
      <c r="AM163"/>
      <c r="AN163"/>
      <c r="AO163"/>
      <c r="AP163" s="363"/>
      <c r="AQ163" s="375">
        <f t="shared" si="30"/>
        <v>94</v>
      </c>
      <c r="AR163">
        <f t="shared" si="32"/>
        <v>0</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77.52</v>
      </c>
      <c r="J164" s="789">
        <v>49.151181000000001</v>
      </c>
      <c r="K164" s="346">
        <v>0</v>
      </c>
      <c r="L164" s="554"/>
      <c r="M164" s="770"/>
      <c r="N164" s="539"/>
      <c r="AB164"/>
      <c r="AC164"/>
      <c r="AD164"/>
      <c r="AE164"/>
      <c r="AF164"/>
      <c r="AG164"/>
      <c r="AH164"/>
      <c r="AI164"/>
      <c r="AJ164"/>
      <c r="AK164"/>
      <c r="AL164"/>
      <c r="AM164"/>
      <c r="AN164"/>
      <c r="AO164"/>
      <c r="AP164" s="363"/>
      <c r="AQ164" s="375">
        <f t="shared" si="30"/>
        <v>95</v>
      </c>
      <c r="AR164">
        <f t="shared" si="32"/>
        <v>0</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462.1</v>
      </c>
      <c r="J165" s="789">
        <v>30.616</v>
      </c>
      <c r="K165" s="346">
        <v>0</v>
      </c>
      <c r="L165" s="556"/>
      <c r="M165" s="536"/>
      <c r="N165" s="537"/>
      <c r="O165" s="538"/>
      <c r="AB165"/>
      <c r="AC165"/>
      <c r="AD165"/>
      <c r="AE165"/>
      <c r="AF165"/>
      <c r="AG165"/>
      <c r="AH165"/>
      <c r="AI165"/>
      <c r="AJ165"/>
      <c r="AK165"/>
      <c r="AL165"/>
      <c r="AM165"/>
      <c r="AN165"/>
      <c r="AO165"/>
      <c r="AP165" s="363"/>
      <c r="AQ165" s="375">
        <f t="shared" si="30"/>
        <v>96</v>
      </c>
      <c r="AR165">
        <f t="shared" si="32"/>
        <v>0</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52">
        <v>202.07</v>
      </c>
      <c r="J166" s="789">
        <v>4.6680000000000001</v>
      </c>
      <c r="K166" s="346">
        <v>0</v>
      </c>
      <c r="L166" s="772"/>
      <c r="M166" s="226"/>
      <c r="AB166"/>
      <c r="AC166"/>
      <c r="AD166"/>
      <c r="AE166"/>
      <c r="AF166"/>
      <c r="AG166"/>
      <c r="AH166"/>
      <c r="AI166"/>
      <c r="AJ166"/>
      <c r="AK166"/>
      <c r="AL166"/>
      <c r="AM166"/>
      <c r="AN166"/>
      <c r="AO166"/>
      <c r="AP166" s="363"/>
      <c r="AQ166" s="375">
        <f t="shared" si="30"/>
        <v>97</v>
      </c>
      <c r="AR166">
        <f t="shared" si="32"/>
        <v>0</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52">
        <v>313.60000000000002</v>
      </c>
      <c r="J167" s="789">
        <v>2.3929999999999998</v>
      </c>
      <c r="K167" s="346">
        <v>0</v>
      </c>
      <c r="L167" s="560"/>
      <c r="M167" s="226"/>
      <c r="AB167"/>
      <c r="AC167"/>
      <c r="AD167"/>
      <c r="AE167"/>
      <c r="AF167"/>
      <c r="AG167"/>
      <c r="AH167"/>
      <c r="AI167"/>
      <c r="AJ167"/>
      <c r="AK167"/>
      <c r="AL167"/>
      <c r="AM167"/>
      <c r="AN167"/>
      <c r="AO167"/>
      <c r="AP167" s="363"/>
      <c r="AQ167" s="375">
        <f t="shared" si="30"/>
        <v>98</v>
      </c>
      <c r="AR167">
        <f t="shared" si="32"/>
        <v>0</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52">
        <v>76.97</v>
      </c>
      <c r="J168" s="789">
        <v>207.92881869450602</v>
      </c>
      <c r="K168" s="346">
        <v>0</v>
      </c>
      <c r="L168" s="772"/>
      <c r="M168" s="226"/>
      <c r="AB168"/>
      <c r="AC168"/>
      <c r="AD168"/>
      <c r="AE168"/>
      <c r="AF168"/>
      <c r="AG168"/>
      <c r="AH168"/>
      <c r="AI168"/>
      <c r="AJ168"/>
      <c r="AK168"/>
      <c r="AL168"/>
      <c r="AM168"/>
      <c r="AN168"/>
      <c r="AO168"/>
      <c r="AP168" s="363"/>
      <c r="AQ168" s="375">
        <f t="shared" si="30"/>
        <v>99</v>
      </c>
      <c r="AR168">
        <f t="shared" si="32"/>
        <v>0</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115.95</v>
      </c>
      <c r="J169" s="789">
        <v>0.504</v>
      </c>
      <c r="K169" s="346">
        <v>0</v>
      </c>
      <c r="L169" s="773"/>
      <c r="M169" s="226"/>
      <c r="AB169"/>
      <c r="AC169"/>
      <c r="AD169"/>
      <c r="AE169"/>
      <c r="AF169"/>
      <c r="AG169"/>
      <c r="AH169"/>
      <c r="AI169"/>
      <c r="AJ169"/>
      <c r="AK169"/>
      <c r="AL169"/>
      <c r="AM169"/>
      <c r="AN169"/>
      <c r="AO169"/>
      <c r="AP169" s="363"/>
      <c r="AQ169" s="375">
        <f t="shared" si="30"/>
        <v>100</v>
      </c>
      <c r="AR169">
        <f t="shared" si="32"/>
        <v>0</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52">
        <v>115.85</v>
      </c>
      <c r="J170" s="789">
        <v>0.22900000000000001</v>
      </c>
      <c r="K170" s="346">
        <v>0</v>
      </c>
      <c r="L170" s="772"/>
      <c r="M170" s="226"/>
      <c r="AB170"/>
      <c r="AC170"/>
      <c r="AD170"/>
      <c r="AE170"/>
      <c r="AF170"/>
      <c r="AG170"/>
      <c r="AH170"/>
      <c r="AI170"/>
      <c r="AJ170"/>
      <c r="AK170"/>
      <c r="AL170"/>
      <c r="AM170"/>
      <c r="AN170"/>
      <c r="AO170"/>
      <c r="AP170" s="363"/>
      <c r="AQ170" s="375">
        <f t="shared" si="30"/>
        <v>101</v>
      </c>
      <c r="AR170">
        <f t="shared" si="32"/>
        <v>0</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52">
        <v>40.64</v>
      </c>
      <c r="J171" s="789">
        <v>0.72799999999999998</v>
      </c>
      <c r="K171" s="346">
        <v>0</v>
      </c>
      <c r="L171" s="772"/>
      <c r="M171" s="226"/>
      <c r="AB171"/>
      <c r="AC171"/>
      <c r="AD171"/>
      <c r="AE171"/>
      <c r="AF171"/>
      <c r="AG171"/>
      <c r="AH171"/>
      <c r="AI171"/>
      <c r="AJ171"/>
      <c r="AK171"/>
      <c r="AL171"/>
      <c r="AM171"/>
      <c r="AN171"/>
      <c r="AO171"/>
      <c r="AP171" s="363"/>
      <c r="AQ171" s="375">
        <f t="shared" si="30"/>
        <v>102</v>
      </c>
      <c r="AR171">
        <f t="shared" si="32"/>
        <v>0</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53">
        <v>45.31</v>
      </c>
      <c r="J172" s="789">
        <v>0.55700000000000005</v>
      </c>
      <c r="K172" s="346">
        <v>0</v>
      </c>
      <c r="L172" s="772"/>
      <c r="M172" s="226"/>
      <c r="AB172"/>
      <c r="AC172"/>
      <c r="AD172"/>
      <c r="AE172"/>
      <c r="AF172"/>
      <c r="AG172"/>
      <c r="AH172"/>
      <c r="AI172"/>
      <c r="AJ172"/>
      <c r="AK172"/>
      <c r="AL172"/>
      <c r="AM172"/>
      <c r="AN172"/>
      <c r="AO172"/>
      <c r="AP172" s="363"/>
      <c r="AQ172" s="375">
        <f t="shared" si="30"/>
        <v>103</v>
      </c>
      <c r="AR172">
        <f t="shared" si="32"/>
        <v>0</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52">
        <v>74.27</v>
      </c>
      <c r="J173" s="789">
        <v>0.23200000000000001</v>
      </c>
      <c r="K173" s="346">
        <v>0</v>
      </c>
      <c r="L173" s="772"/>
      <c r="M173" s="226"/>
      <c r="AB173"/>
      <c r="AC173"/>
      <c r="AD173"/>
      <c r="AE173"/>
      <c r="AF173"/>
      <c r="AG173"/>
      <c r="AH173"/>
      <c r="AI173"/>
      <c r="AJ173"/>
      <c r="AK173"/>
      <c r="AL173"/>
      <c r="AM173"/>
      <c r="AN173"/>
      <c r="AO173"/>
      <c r="AP173" s="363"/>
      <c r="AQ173" s="375">
        <f t="shared" si="30"/>
        <v>104</v>
      </c>
      <c r="AR173">
        <f t="shared" si="32"/>
        <v>0</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52">
        <v>81.7</v>
      </c>
      <c r="J174" s="789">
        <v>0.26900000000000002</v>
      </c>
      <c r="K174" s="346">
        <v>0</v>
      </c>
      <c r="L174" s="772"/>
      <c r="M174" s="226"/>
      <c r="AB174"/>
      <c r="AC174"/>
      <c r="AD174"/>
      <c r="AE174"/>
      <c r="AF174"/>
      <c r="AG174"/>
      <c r="AH174"/>
      <c r="AI174"/>
      <c r="AJ174"/>
      <c r="AK174"/>
      <c r="AL174"/>
      <c r="AM174"/>
      <c r="AN174"/>
      <c r="AO174"/>
      <c r="AP174" s="363"/>
      <c r="AQ174" s="375">
        <f t="shared" si="30"/>
        <v>105</v>
      </c>
      <c r="AR174">
        <f t="shared" si="32"/>
        <v>0</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52">
        <v>69.52</v>
      </c>
      <c r="J175" s="789">
        <v>0.125</v>
      </c>
      <c r="K175" s="346">
        <v>0</v>
      </c>
      <c r="L175" s="772"/>
      <c r="M175" s="226"/>
      <c r="AB175"/>
      <c r="AC175"/>
      <c r="AD175"/>
      <c r="AE175"/>
      <c r="AF175"/>
      <c r="AG175"/>
      <c r="AH175"/>
      <c r="AI175"/>
      <c r="AJ175"/>
      <c r="AK175"/>
      <c r="AL175"/>
      <c r="AM175"/>
      <c r="AN175"/>
      <c r="AO175"/>
      <c r="AP175" s="363"/>
      <c r="AQ175" s="375">
        <f t="shared" si="30"/>
        <v>106</v>
      </c>
      <c r="AR175">
        <f t="shared" si="32"/>
        <v>0</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52">
        <v>46.5</v>
      </c>
      <c r="J176" s="789">
        <v>0.32100000000000001</v>
      </c>
      <c r="K176" s="346">
        <v>0</v>
      </c>
      <c r="L176" s="772"/>
      <c r="M176" s="226"/>
      <c r="AB176"/>
      <c r="AC176"/>
      <c r="AD176"/>
      <c r="AE176"/>
      <c r="AF176"/>
      <c r="AG176"/>
      <c r="AH176"/>
      <c r="AI176"/>
      <c r="AJ176"/>
      <c r="AK176"/>
      <c r="AL176"/>
      <c r="AM176"/>
      <c r="AN176"/>
      <c r="AO176"/>
      <c r="AP176" s="363"/>
      <c r="AQ176" s="375">
        <f t="shared" si="30"/>
        <v>107</v>
      </c>
      <c r="AR176">
        <f t="shared" si="32"/>
        <v>0</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128.47999999999999</v>
      </c>
      <c r="J177" s="798">
        <v>87.088999999999999</v>
      </c>
      <c r="K177" s="346">
        <v>0</v>
      </c>
      <c r="L177" s="563"/>
      <c r="M177" s="226"/>
      <c r="AB177"/>
      <c r="AC177"/>
      <c r="AD177"/>
      <c r="AE177"/>
      <c r="AF177"/>
      <c r="AG177"/>
      <c r="AH177"/>
      <c r="AI177"/>
      <c r="AJ177"/>
      <c r="AK177"/>
      <c r="AL177"/>
      <c r="AM177"/>
      <c r="AN177"/>
      <c r="AO177"/>
      <c r="AP177" s="363"/>
      <c r="AQ177" s="375">
        <f t="shared" si="30"/>
        <v>108</v>
      </c>
      <c r="AR177">
        <f t="shared" si="32"/>
        <v>0</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107.93</v>
      </c>
      <c r="J178" s="798">
        <v>0.19</v>
      </c>
      <c r="K178" s="346">
        <v>0</v>
      </c>
      <c r="L178" s="563"/>
      <c r="M178" s="226"/>
      <c r="AB178"/>
      <c r="AC178"/>
      <c r="AD178"/>
      <c r="AE178"/>
      <c r="AF178"/>
      <c r="AG178"/>
      <c r="AH178"/>
      <c r="AI178"/>
      <c r="AJ178"/>
      <c r="AK178"/>
      <c r="AL178"/>
      <c r="AM178"/>
      <c r="AN178"/>
      <c r="AO178"/>
      <c r="AP178" s="363"/>
      <c r="AQ178" s="375">
        <f t="shared" si="30"/>
        <v>109</v>
      </c>
      <c r="AR178">
        <f t="shared" si="32"/>
        <v>0</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200.16</v>
      </c>
      <c r="J179" s="798">
        <v>4.7E-2</v>
      </c>
      <c r="K179" s="346">
        <v>0</v>
      </c>
      <c r="L179" s="563"/>
      <c r="M179" s="224"/>
      <c r="AB179"/>
      <c r="AC179"/>
      <c r="AD179"/>
      <c r="AE179"/>
      <c r="AF179"/>
      <c r="AG179"/>
      <c r="AH179"/>
      <c r="AI179"/>
      <c r="AJ179"/>
      <c r="AK179"/>
      <c r="AL179"/>
      <c r="AM179"/>
      <c r="AN179"/>
      <c r="AO179"/>
      <c r="AP179" s="363"/>
      <c r="AQ179" s="375">
        <f t="shared" si="30"/>
        <v>110</v>
      </c>
      <c r="AR179">
        <f t="shared" si="32"/>
        <v>0</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219.99</v>
      </c>
      <c r="J180" s="800">
        <v>0.28399999999999997</v>
      </c>
      <c r="K180" s="346">
        <v>0</v>
      </c>
      <c r="L180" s="565"/>
      <c r="M180" s="226"/>
      <c r="AB180"/>
      <c r="AC180"/>
      <c r="AD180"/>
      <c r="AE180"/>
      <c r="AF180"/>
      <c r="AG180"/>
      <c r="AH180"/>
      <c r="AI180"/>
      <c r="AJ180"/>
      <c r="AK180"/>
      <c r="AL180"/>
      <c r="AM180"/>
      <c r="AN180"/>
      <c r="AO180"/>
      <c r="AP180" s="363"/>
      <c r="AQ180" s="375">
        <f t="shared" si="30"/>
        <v>111</v>
      </c>
      <c r="AR180">
        <f t="shared" si="32"/>
        <v>0</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196.05</v>
      </c>
      <c r="J181" s="798">
        <v>0.46</v>
      </c>
      <c r="K181" s="346">
        <v>0</v>
      </c>
      <c r="L181" s="563"/>
      <c r="M181" s="226"/>
      <c r="AB181"/>
      <c r="AC181"/>
      <c r="AD181"/>
      <c r="AE181"/>
      <c r="AF181"/>
      <c r="AG181"/>
      <c r="AH181"/>
      <c r="AI181"/>
      <c r="AJ181"/>
      <c r="AK181"/>
      <c r="AL181"/>
      <c r="AM181"/>
      <c r="AN181"/>
      <c r="AO181"/>
      <c r="AP181" s="363"/>
      <c r="AQ181" s="375">
        <f t="shared" si="30"/>
        <v>112</v>
      </c>
      <c r="AR181">
        <f t="shared" si="32"/>
        <v>0</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169.2</v>
      </c>
      <c r="J182" s="798">
        <v>8.4000000000000005E-2</v>
      </c>
      <c r="K182" s="346">
        <v>0</v>
      </c>
      <c r="L182" s="563"/>
      <c r="M182" s="226"/>
      <c r="AB182"/>
      <c r="AC182"/>
      <c r="AD182"/>
      <c r="AE182"/>
      <c r="AF182"/>
      <c r="AG182"/>
      <c r="AH182"/>
      <c r="AI182"/>
      <c r="AJ182"/>
      <c r="AK182"/>
      <c r="AL182"/>
      <c r="AM182"/>
      <c r="AN182"/>
      <c r="AO182"/>
      <c r="AP182" s="363"/>
      <c r="AQ182" s="375">
        <f t="shared" si="30"/>
        <v>113</v>
      </c>
      <c r="AR182">
        <f t="shared" si="32"/>
        <v>0</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218.36</v>
      </c>
      <c r="J183" s="801">
        <v>5.1999999999999998E-2</v>
      </c>
      <c r="K183" s="346">
        <v>0</v>
      </c>
      <c r="L183" s="565"/>
      <c r="M183" s="226"/>
      <c r="AB183"/>
      <c r="AC183"/>
      <c r="AD183"/>
      <c r="AE183"/>
      <c r="AF183"/>
      <c r="AG183"/>
      <c r="AH183"/>
      <c r="AI183"/>
      <c r="AJ183"/>
      <c r="AK183"/>
      <c r="AL183"/>
      <c r="AM183"/>
      <c r="AN183"/>
      <c r="AO183"/>
      <c r="AP183" s="363"/>
      <c r="AQ183" s="375">
        <f t="shared" si="30"/>
        <v>114</v>
      </c>
      <c r="AR183">
        <f t="shared" si="32"/>
        <v>0</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240.4</v>
      </c>
      <c r="J184" s="800">
        <v>0.26200000000000001</v>
      </c>
      <c r="K184" s="346">
        <v>0</v>
      </c>
      <c r="L184" s="565"/>
      <c r="M184" s="226"/>
      <c r="AB184"/>
      <c r="AC184"/>
      <c r="AD184"/>
      <c r="AE184"/>
      <c r="AF184"/>
      <c r="AG184"/>
      <c r="AH184"/>
      <c r="AI184"/>
      <c r="AJ184"/>
      <c r="AK184"/>
      <c r="AL184"/>
      <c r="AM184"/>
      <c r="AN184"/>
      <c r="AO184"/>
      <c r="AP184" s="363"/>
      <c r="AQ184" s="375">
        <f t="shared" si="30"/>
        <v>115</v>
      </c>
      <c r="AR184">
        <f t="shared" si="32"/>
        <v>0</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146.62</v>
      </c>
      <c r="J185" s="800">
        <v>1.42</v>
      </c>
      <c r="K185" s="346">
        <v>0</v>
      </c>
      <c r="L185" s="565"/>
      <c r="M185" s="226"/>
      <c r="AB185"/>
      <c r="AC185"/>
      <c r="AD185"/>
      <c r="AE185"/>
      <c r="AF185"/>
      <c r="AG185"/>
      <c r="AH185"/>
      <c r="AI185"/>
      <c r="AJ185"/>
      <c r="AK185"/>
      <c r="AL185"/>
      <c r="AM185"/>
      <c r="AN185"/>
      <c r="AO185"/>
      <c r="AP185" s="363"/>
      <c r="AQ185" s="375">
        <f t="shared" si="30"/>
        <v>116</v>
      </c>
      <c r="AR185">
        <f t="shared" si="32"/>
        <v>0</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232.2</v>
      </c>
      <c r="J186" s="798">
        <v>3.1859999999999999</v>
      </c>
      <c r="K186" s="346">
        <v>0</v>
      </c>
      <c r="L186" s="563"/>
      <c r="M186" s="226"/>
      <c r="AB186"/>
      <c r="AC186"/>
      <c r="AD186"/>
      <c r="AE186"/>
      <c r="AF186"/>
      <c r="AG186"/>
      <c r="AH186"/>
      <c r="AI186"/>
      <c r="AJ186"/>
      <c r="AK186"/>
      <c r="AL186"/>
      <c r="AM186"/>
      <c r="AN186"/>
      <c r="AO186"/>
      <c r="AP186" s="363"/>
      <c r="AQ186" s="375">
        <f t="shared" si="30"/>
        <v>117</v>
      </c>
      <c r="AR186">
        <f t="shared" si="32"/>
        <v>0</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325.49</v>
      </c>
      <c r="J187" s="800">
        <v>0.69399999999999995</v>
      </c>
      <c r="K187" s="346">
        <v>0</v>
      </c>
      <c r="L187" s="565"/>
      <c r="M187" s="226"/>
      <c r="AB187"/>
      <c r="AC187"/>
      <c r="AD187"/>
      <c r="AE187"/>
      <c r="AF187"/>
      <c r="AG187"/>
      <c r="AH187"/>
      <c r="AI187"/>
      <c r="AJ187"/>
      <c r="AK187"/>
      <c r="AL187"/>
      <c r="AM187"/>
      <c r="AN187"/>
      <c r="AO187"/>
      <c r="AP187" s="363"/>
      <c r="AQ187" s="375">
        <f t="shared" si="30"/>
        <v>118</v>
      </c>
      <c r="AR187">
        <f t="shared" si="32"/>
        <v>0</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129.19999999999999</v>
      </c>
      <c r="J188" s="798">
        <v>0.5</v>
      </c>
      <c r="K188" s="346">
        <v>0</v>
      </c>
      <c r="L188" s="563"/>
      <c r="M188" s="226"/>
      <c r="AB188"/>
      <c r="AC188"/>
      <c r="AD188"/>
      <c r="AE188"/>
      <c r="AF188"/>
      <c r="AG188"/>
      <c r="AH188"/>
      <c r="AI188"/>
      <c r="AJ188"/>
      <c r="AK188"/>
      <c r="AL188"/>
      <c r="AM188"/>
      <c r="AN188"/>
      <c r="AO188"/>
      <c r="AP188" s="363"/>
      <c r="AQ188" s="375">
        <f t="shared" si="30"/>
        <v>119</v>
      </c>
      <c r="AR188">
        <f t="shared" si="32"/>
        <v>0</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798">
        <v>0.51300000000000001</v>
      </c>
      <c r="K189" s="346">
        <v>0</v>
      </c>
      <c r="L189" s="563"/>
      <c r="M189" s="226"/>
      <c r="AB189"/>
      <c r="AC189"/>
      <c r="AD189"/>
      <c r="AE189"/>
      <c r="AF189"/>
      <c r="AG189"/>
      <c r="AH189"/>
      <c r="AI189"/>
      <c r="AJ189"/>
      <c r="AK189"/>
      <c r="AL189"/>
      <c r="AM189"/>
      <c r="AN189"/>
      <c r="AO189"/>
      <c r="AP189" s="363"/>
      <c r="AQ189" s="375">
        <f t="shared" si="30"/>
        <v>120</v>
      </c>
      <c r="AR189">
        <f t="shared" si="32"/>
        <v>0</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96.99</v>
      </c>
      <c r="J190" s="800">
        <v>0.56799999999999995</v>
      </c>
      <c r="K190" s="346">
        <v>0</v>
      </c>
      <c r="L190" s="565"/>
      <c r="M190" s="226"/>
      <c r="AB190"/>
      <c r="AC190"/>
      <c r="AD190"/>
      <c r="AE190"/>
      <c r="AF190"/>
      <c r="AG190"/>
      <c r="AH190"/>
      <c r="AI190"/>
      <c r="AJ190"/>
      <c r="AK190"/>
      <c r="AL190"/>
      <c r="AM190"/>
      <c r="AN190"/>
      <c r="AO190"/>
      <c r="AP190" s="363"/>
      <c r="AQ190" s="375">
        <f t="shared" si="30"/>
        <v>121</v>
      </c>
      <c r="AR190">
        <f t="shared" si="32"/>
        <v>0</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189.15</v>
      </c>
      <c r="J191" s="800">
        <v>6.6000000000000003E-2</v>
      </c>
      <c r="K191" s="346">
        <v>0</v>
      </c>
      <c r="L191" s="565"/>
      <c r="M191" s="226"/>
      <c r="AB191"/>
      <c r="AC191"/>
      <c r="AD191"/>
      <c r="AE191"/>
      <c r="AF191"/>
      <c r="AG191"/>
      <c r="AH191"/>
      <c r="AI191"/>
      <c r="AJ191"/>
      <c r="AK191"/>
      <c r="AL191"/>
      <c r="AM191"/>
      <c r="AN191"/>
      <c r="AO191"/>
      <c r="AP191" s="363"/>
      <c r="AQ191" s="375">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171.37</v>
      </c>
      <c r="J192" s="800">
        <v>0.10100000000000001</v>
      </c>
      <c r="K192" s="346">
        <v>0</v>
      </c>
      <c r="L192" s="565"/>
      <c r="M192" s="226"/>
      <c r="AB192"/>
      <c r="AC192"/>
      <c r="AD192"/>
      <c r="AE192"/>
      <c r="AF192"/>
      <c r="AG192"/>
      <c r="AH192"/>
      <c r="AI192"/>
      <c r="AJ192"/>
      <c r="AK192"/>
      <c r="AL192"/>
      <c r="AM192"/>
      <c r="AN192"/>
      <c r="AO192"/>
      <c r="AP192" s="363"/>
      <c r="AQ192" s="375">
        <f t="shared" si="30"/>
        <v>123</v>
      </c>
      <c r="AR192">
        <f t="shared" si="34"/>
        <v>0</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151.12</v>
      </c>
      <c r="J193" s="802">
        <v>4.2089999999999996</v>
      </c>
      <c r="K193" s="346">
        <v>0</v>
      </c>
      <c r="L193" s="550"/>
      <c r="M193" s="226"/>
      <c r="AB193"/>
      <c r="AC193"/>
      <c r="AD193"/>
      <c r="AE193"/>
      <c r="AF193"/>
      <c r="AG193"/>
      <c r="AH193"/>
      <c r="AI193"/>
      <c r="AJ193"/>
      <c r="AK193"/>
      <c r="AL193"/>
      <c r="AM193"/>
      <c r="AN193"/>
      <c r="AO193"/>
      <c r="AP193" s="363"/>
      <c r="AQ193" s="375">
        <f t="shared" si="30"/>
        <v>124</v>
      </c>
      <c r="AR193">
        <f t="shared" si="34"/>
        <v>0</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236.66</v>
      </c>
      <c r="J194" s="802">
        <v>1.236</v>
      </c>
      <c r="K194" s="346">
        <v>0</v>
      </c>
      <c r="L194" s="550"/>
      <c r="M194" s="226"/>
      <c r="AB194"/>
      <c r="AC194"/>
      <c r="AD194"/>
      <c r="AE194"/>
      <c r="AF194"/>
      <c r="AG194"/>
      <c r="AH194"/>
      <c r="AI194"/>
      <c r="AJ194"/>
      <c r="AK194"/>
      <c r="AL194"/>
      <c r="AM194"/>
      <c r="AN194"/>
      <c r="AO194"/>
      <c r="AP194" s="363"/>
      <c r="AQ194" s="375">
        <f t="shared" si="30"/>
        <v>125</v>
      </c>
      <c r="AR194">
        <f t="shared" si="34"/>
        <v>0</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120.75</v>
      </c>
      <c r="J195" s="798">
        <v>4.1539999999999999</v>
      </c>
      <c r="K195" s="346">
        <v>0</v>
      </c>
      <c r="L195" s="563"/>
      <c r="M195" s="226"/>
      <c r="AB195"/>
      <c r="AC195"/>
      <c r="AD195"/>
      <c r="AE195"/>
      <c r="AF195"/>
      <c r="AG195"/>
      <c r="AH195"/>
      <c r="AI195"/>
      <c r="AJ195"/>
      <c r="AK195"/>
      <c r="AL195"/>
      <c r="AM195"/>
      <c r="AN195"/>
      <c r="AO195"/>
      <c r="AP195" s="363"/>
      <c r="AQ195" s="375">
        <f t="shared" si="30"/>
        <v>126</v>
      </c>
      <c r="AR195">
        <f t="shared" si="34"/>
        <v>0</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109.55</v>
      </c>
      <c r="J196" s="798">
        <v>1.35</v>
      </c>
      <c r="K196" s="346">
        <v>0</v>
      </c>
      <c r="L196" s="563"/>
      <c r="M196" s="226"/>
      <c r="AB196"/>
      <c r="AC196"/>
      <c r="AD196"/>
      <c r="AE196"/>
      <c r="AF196"/>
      <c r="AG196"/>
      <c r="AH196"/>
      <c r="AI196"/>
      <c r="AJ196"/>
      <c r="AK196"/>
      <c r="AL196"/>
      <c r="AM196"/>
      <c r="AN196"/>
      <c r="AO196"/>
      <c r="AP196" s="363"/>
      <c r="AQ196" s="375">
        <f t="shared" si="30"/>
        <v>127</v>
      </c>
      <c r="AR196">
        <f t="shared" si="34"/>
        <v>0</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64.349999999999994</v>
      </c>
      <c r="J197" s="802">
        <v>22.045000000000002</v>
      </c>
      <c r="K197" s="346">
        <v>0</v>
      </c>
      <c r="L197" s="550"/>
      <c r="M197" s="226"/>
      <c r="AB197"/>
      <c r="AC197"/>
      <c r="AD197"/>
      <c r="AE197"/>
      <c r="AF197"/>
      <c r="AG197"/>
      <c r="AH197"/>
      <c r="AI197"/>
      <c r="AJ197"/>
      <c r="AK197"/>
      <c r="AL197"/>
      <c r="AM197"/>
      <c r="AN197"/>
      <c r="AO197"/>
      <c r="AP197" s="363"/>
      <c r="AQ197" s="375">
        <f t="shared" si="30"/>
        <v>128</v>
      </c>
      <c r="AR197">
        <f t="shared" si="34"/>
        <v>0</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594">
        <v>162.88999999999999</v>
      </c>
      <c r="J198" s="806">
        <v>182.89</v>
      </c>
      <c r="K198" s="346">
        <v>0</v>
      </c>
      <c r="L198" s="550"/>
      <c r="M198" s="226"/>
      <c r="AB198"/>
      <c r="AC198"/>
      <c r="AD198"/>
      <c r="AE198"/>
      <c r="AF198"/>
      <c r="AG198"/>
      <c r="AH198"/>
      <c r="AI198"/>
      <c r="AJ198"/>
      <c r="AK198"/>
      <c r="AL198"/>
      <c r="AM198"/>
      <c r="AN198"/>
      <c r="AO198"/>
      <c r="AP198" s="363"/>
      <c r="AQ198" s="375">
        <f t="shared" si="30"/>
        <v>129</v>
      </c>
      <c r="AR198">
        <f t="shared" si="34"/>
        <v>0</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228.75</v>
      </c>
      <c r="J199" s="802">
        <v>6.1260000000000003</v>
      </c>
      <c r="K199" s="346">
        <v>0</v>
      </c>
      <c r="L199" s="772"/>
      <c r="AB199"/>
      <c r="AC199"/>
      <c r="AD199"/>
      <c r="AE199"/>
      <c r="AF199"/>
      <c r="AG199"/>
      <c r="AH199"/>
      <c r="AI199"/>
      <c r="AJ199"/>
      <c r="AK199"/>
      <c r="AL199"/>
      <c r="AM199"/>
      <c r="AN199"/>
      <c r="AO199"/>
      <c r="AP199" s="363"/>
      <c r="AQ199" s="375">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149.24600000000001</v>
      </c>
      <c r="J200" s="810">
        <v>10.86</v>
      </c>
      <c r="K200" s="346">
        <v>0</v>
      </c>
      <c r="L200" s="570"/>
      <c r="M200" s="226"/>
      <c r="AB200"/>
      <c r="AC200"/>
      <c r="AD200"/>
      <c r="AE200"/>
      <c r="AF200"/>
      <c r="AG200"/>
      <c r="AH200"/>
      <c r="AI200"/>
      <c r="AJ200"/>
      <c r="AK200"/>
      <c r="AL200"/>
      <c r="AM200"/>
      <c r="AN200"/>
      <c r="AO200"/>
      <c r="AP200" s="363"/>
      <c r="AQ200" s="375">
        <f t="shared" si="35"/>
        <v>131</v>
      </c>
      <c r="AR200">
        <f t="shared" si="34"/>
        <v>0</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23">
        <v>35.24</v>
      </c>
      <c r="J201" s="802">
        <v>0.14299999999999999</v>
      </c>
      <c r="K201" s="346">
        <v>0</v>
      </c>
      <c r="L201" s="570"/>
      <c r="M201" s="226"/>
      <c r="AB201"/>
      <c r="AC201"/>
      <c r="AD201"/>
      <c r="AE201"/>
      <c r="AF201"/>
      <c r="AG201"/>
      <c r="AH201"/>
      <c r="AI201"/>
      <c r="AJ201"/>
      <c r="AK201"/>
      <c r="AL201"/>
      <c r="AM201"/>
      <c r="AN201"/>
      <c r="AO201"/>
      <c r="AP201" s="363"/>
      <c r="AQ201" s="375">
        <f t="shared" si="35"/>
        <v>132</v>
      </c>
      <c r="AR201">
        <f t="shared" si="34"/>
        <v>0</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52">
        <v>70.05</v>
      </c>
      <c r="J202" s="802">
        <v>0.752</v>
      </c>
      <c r="K202" s="346">
        <v>0</v>
      </c>
      <c r="L202" s="570"/>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6">
        <f>SUM(J162:J202)</f>
        <v>651.94845069450605</v>
      </c>
      <c r="K203" s="374">
        <f>SUM(K162:K202)</f>
        <v>0</v>
      </c>
      <c r="L203" s="774"/>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15" t="s">
        <v>69</v>
      </c>
      <c r="D204" s="515"/>
      <c r="E204" s="431"/>
      <c r="F204" s="428"/>
      <c r="G204" s="429"/>
      <c r="H204" s="464">
        <v>1</v>
      </c>
      <c r="I204" s="462"/>
      <c r="J204" s="503">
        <f>IFERROR(+J203/H203,0)</f>
        <v>0.9220044869169749</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5">
        <v>1736.79</v>
      </c>
      <c r="F205" s="432">
        <v>1</v>
      </c>
      <c r="G205" s="433" t="s">
        <v>68</v>
      </c>
      <c r="H205" s="465">
        <f>+H203/F203*100%</f>
        <v>0.38982624760764684</v>
      </c>
      <c r="I205" s="462"/>
      <c r="J205" s="504">
        <f>+J203/F203</f>
        <v>0.35942154941225801</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390"/>
      <c r="C207" s="350"/>
      <c r="D207" s="350"/>
      <c r="E207" s="350"/>
      <c r="F207" s="391">
        <v>13</v>
      </c>
      <c r="G207" s="392" t="s">
        <v>277</v>
      </c>
      <c r="H207" s="581">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x14ac:dyDescent="0.2">
      <c r="B208" s="512" t="s">
        <v>18</v>
      </c>
      <c r="C208" s="515" t="s">
        <v>19</v>
      </c>
      <c r="D208" s="515" t="s">
        <v>75</v>
      </c>
      <c r="E208" s="816" t="s">
        <v>20</v>
      </c>
      <c r="F208" s="817"/>
      <c r="G208" s="816" t="s">
        <v>96</v>
      </c>
      <c r="H208" s="817"/>
      <c r="I208" s="816" t="s">
        <v>22</v>
      </c>
      <c r="J208" s="817"/>
      <c r="K208" s="509"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x14ac:dyDescent="0.2">
      <c r="B209" s="513"/>
      <c r="C209" s="516"/>
      <c r="D209" s="516"/>
      <c r="E209" s="352" t="s">
        <v>24</v>
      </c>
      <c r="F209" s="352" t="s">
        <v>25</v>
      </c>
      <c r="G209" s="351" t="s">
        <v>24</v>
      </c>
      <c r="H209" s="352" t="s">
        <v>25</v>
      </c>
      <c r="I209" s="351" t="s">
        <v>24</v>
      </c>
      <c r="J209" s="352" t="s">
        <v>25</v>
      </c>
      <c r="K209" s="510"/>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x14ac:dyDescent="0.25">
      <c r="B210" s="514"/>
      <c r="C210" s="517"/>
      <c r="D210" s="517"/>
      <c r="E210" s="354" t="s">
        <v>26</v>
      </c>
      <c r="F210" s="354" t="s">
        <v>157</v>
      </c>
      <c r="G210" s="353" t="s">
        <v>26</v>
      </c>
      <c r="H210" s="354" t="s">
        <v>157</v>
      </c>
      <c r="I210" s="353" t="s">
        <v>26</v>
      </c>
      <c r="J210" s="354" t="s">
        <v>157</v>
      </c>
      <c r="K210" s="511"/>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52.9</v>
      </c>
      <c r="J212" s="787">
        <v>16.605</v>
      </c>
      <c r="K212" s="346"/>
      <c r="L212" s="775"/>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334.78</v>
      </c>
      <c r="J213" s="789">
        <v>3.7770000000000001</v>
      </c>
      <c r="K213" s="346"/>
      <c r="L213" s="776"/>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76.7</v>
      </c>
      <c r="J214" s="789">
        <v>43.933</v>
      </c>
      <c r="K214" s="346"/>
      <c r="L214" s="776"/>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462.12</v>
      </c>
      <c r="J215" s="789">
        <v>30.951000000000001</v>
      </c>
      <c r="K215" s="346"/>
      <c r="L215" s="777"/>
      <c r="M215" s="537"/>
      <c r="N215" s="53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52">
        <v>202.07</v>
      </c>
      <c r="J216" s="789">
        <v>4.6680000000000001</v>
      </c>
      <c r="K216" s="346"/>
      <c r="L216" s="778"/>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52">
        <v>313.60000000000002</v>
      </c>
      <c r="J217" s="789">
        <v>2.3929999999999998</v>
      </c>
      <c r="K217" s="346"/>
      <c r="L217" s="778"/>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52">
        <v>76.94</v>
      </c>
      <c r="J218" s="789">
        <v>207.32455427166428</v>
      </c>
      <c r="K218" s="346"/>
      <c r="L218" s="778"/>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115.35</v>
      </c>
      <c r="J219" s="789">
        <v>0.377</v>
      </c>
      <c r="K219" s="346"/>
      <c r="L219" s="779"/>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52">
        <v>115.85</v>
      </c>
      <c r="J220" s="789">
        <v>0.22900000000000001</v>
      </c>
      <c r="K220" s="346"/>
      <c r="L220" s="778"/>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52">
        <v>40.64</v>
      </c>
      <c r="J221" s="789">
        <v>0.72799999999999998</v>
      </c>
      <c r="K221" s="346"/>
      <c r="L221" s="778"/>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53">
        <v>45.31</v>
      </c>
      <c r="J222" s="789">
        <v>0.55700000000000005</v>
      </c>
      <c r="K222" s="346"/>
      <c r="L222" s="778"/>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52">
        <v>74.27</v>
      </c>
      <c r="J223" s="789">
        <v>0.23200000000000001</v>
      </c>
      <c r="K223" s="346"/>
      <c r="L223" s="778"/>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52">
        <v>81.849999999999994</v>
      </c>
      <c r="J224" s="789">
        <v>0.28899999999999998</v>
      </c>
      <c r="K224" s="346"/>
      <c r="L224" s="778"/>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52">
        <v>69.53</v>
      </c>
      <c r="J225" s="789">
        <v>0.11600000000000001</v>
      </c>
      <c r="K225" s="346"/>
      <c r="L225" s="778"/>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52">
        <v>46.5</v>
      </c>
      <c r="J226" s="789">
        <v>0.32100000000000001</v>
      </c>
      <c r="K226" s="346"/>
      <c r="L226" s="778"/>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128.47</v>
      </c>
      <c r="J227" s="798">
        <v>86.94</v>
      </c>
      <c r="K227" s="346"/>
      <c r="L227" s="780"/>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107.96</v>
      </c>
      <c r="J228" s="798">
        <v>0.191</v>
      </c>
      <c r="K228" s="346"/>
      <c r="L228" s="780"/>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200.16</v>
      </c>
      <c r="J229" s="798">
        <v>4.7E-2</v>
      </c>
      <c r="K229" s="346"/>
      <c r="L229" s="780"/>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219.93</v>
      </c>
      <c r="J230" s="800">
        <v>0.28000000000000003</v>
      </c>
      <c r="K230" s="346"/>
      <c r="L230" s="781"/>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195.68</v>
      </c>
      <c r="J231" s="798">
        <v>0.41499999999999998</v>
      </c>
      <c r="K231" s="346"/>
      <c r="L231" s="780"/>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169.2</v>
      </c>
      <c r="J232" s="798">
        <v>8.4000000000000005E-2</v>
      </c>
      <c r="K232" s="346"/>
      <c r="L232" s="780"/>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218.34</v>
      </c>
      <c r="J233" s="801">
        <v>5.0999999999999997E-2</v>
      </c>
      <c r="K233" s="346"/>
      <c r="L233" s="781"/>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240.16</v>
      </c>
      <c r="J234" s="800">
        <v>0.23799999999999999</v>
      </c>
      <c r="K234" s="346"/>
      <c r="L234" s="781"/>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146.58000000000001</v>
      </c>
      <c r="J235" s="800">
        <v>1.4019999999999999</v>
      </c>
      <c r="K235" s="346"/>
      <c r="L235" s="781"/>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232.2</v>
      </c>
      <c r="J236" s="798">
        <v>3.1859999999999999</v>
      </c>
      <c r="K236" s="346"/>
      <c r="L236" s="780"/>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325.45999999999998</v>
      </c>
      <c r="J237" s="800">
        <v>0.69199999999999995</v>
      </c>
      <c r="K237" s="346"/>
      <c r="L237" s="781"/>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129.19999999999999</v>
      </c>
      <c r="J238" s="798">
        <v>0.5</v>
      </c>
      <c r="K238" s="346"/>
      <c r="L238" s="780"/>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798">
        <v>0.51300000000000001</v>
      </c>
      <c r="K239" s="346"/>
      <c r="L239" s="780"/>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96.99</v>
      </c>
      <c r="J240" s="800">
        <v>0.56799999999999995</v>
      </c>
      <c r="K240" s="346"/>
      <c r="L240" s="781"/>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189.16</v>
      </c>
      <c r="J241" s="800">
        <v>6.7000000000000004E-2</v>
      </c>
      <c r="K241" s="346"/>
      <c r="L241" s="781"/>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171.38</v>
      </c>
      <c r="J242" s="800">
        <v>0.10100000000000001</v>
      </c>
      <c r="K242" s="346"/>
      <c r="L242" s="781"/>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151.11000000000001</v>
      </c>
      <c r="J243" s="802">
        <v>4.1870000000000003</v>
      </c>
      <c r="K243" s="346"/>
      <c r="L243" s="782"/>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236.66</v>
      </c>
      <c r="J244" s="802">
        <v>1.236</v>
      </c>
      <c r="K244" s="346"/>
      <c r="L244" s="782"/>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120.75</v>
      </c>
      <c r="J245" s="798">
        <v>4.1539999999999999</v>
      </c>
      <c r="K245" s="346"/>
      <c r="L245" s="780"/>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109.54</v>
      </c>
      <c r="J246" s="798">
        <v>1.3420000000000001</v>
      </c>
      <c r="K246" s="346"/>
      <c r="L246" s="780"/>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64.44</v>
      </c>
      <c r="J247" s="802">
        <v>22.204999999999998</v>
      </c>
      <c r="K247" s="346" t="s">
        <v>68</v>
      </c>
      <c r="L247" s="782"/>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162.94999999999999</v>
      </c>
      <c r="J248" s="794">
        <v>183.37</v>
      </c>
      <c r="K248" s="346"/>
      <c r="L248" s="782"/>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228.21</v>
      </c>
      <c r="J249" s="802">
        <v>4.556</v>
      </c>
      <c r="K249" s="346"/>
      <c r="L249" s="782"/>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149.35900000000001</v>
      </c>
      <c r="J250" s="810">
        <v>10.98</v>
      </c>
      <c r="K250" s="346"/>
      <c r="L250" s="783"/>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23">
        <v>35.24</v>
      </c>
      <c r="J251" s="798">
        <v>0.14299999999999999</v>
      </c>
      <c r="K251" s="346"/>
      <c r="L251" s="784"/>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52">
        <v>70.05</v>
      </c>
      <c r="J252" s="798">
        <v>0.752</v>
      </c>
      <c r="K252" s="397"/>
      <c r="L252" s="785"/>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640.70055427166426</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15" t="s">
        <v>69</v>
      </c>
      <c r="D254" s="515"/>
      <c r="E254" s="431"/>
      <c r="F254" s="428"/>
      <c r="G254" s="429"/>
      <c r="H254" s="430">
        <v>1</v>
      </c>
      <c r="I254" s="431"/>
      <c r="J254" s="357">
        <f>IFERROR(+J253/H253,0)</f>
        <v>1.0153475573862853</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5">
        <v>1736.79</v>
      </c>
      <c r="F255" s="432">
        <v>1</v>
      </c>
      <c r="G255" s="433" t="s">
        <v>68</v>
      </c>
      <c r="H255" s="432">
        <f>+H253/F253*100%</f>
        <v>0.34788141329628086</v>
      </c>
      <c r="I255" s="434"/>
      <c r="J255" s="358">
        <f>+J253/F253</f>
        <v>0.35322054325046753</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12</v>
      </c>
      <c r="G257" s="392" t="s">
        <v>277</v>
      </c>
      <c r="H257" s="581">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12" t="s">
        <v>18</v>
      </c>
      <c r="C258" s="515" t="s">
        <v>19</v>
      </c>
      <c r="D258" s="515" t="s">
        <v>75</v>
      </c>
      <c r="E258" s="816" t="s">
        <v>20</v>
      </c>
      <c r="F258" s="817"/>
      <c r="G258" s="816" t="s">
        <v>96</v>
      </c>
      <c r="H258" s="817"/>
      <c r="I258" s="816" t="s">
        <v>22</v>
      </c>
      <c r="J258" s="817"/>
      <c r="K258" s="509"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13"/>
      <c r="C259" s="516"/>
      <c r="D259" s="516"/>
      <c r="E259" s="352" t="s">
        <v>24</v>
      </c>
      <c r="F259" s="352" t="s">
        <v>25</v>
      </c>
      <c r="G259" s="351" t="s">
        <v>24</v>
      </c>
      <c r="H259" s="352" t="s">
        <v>25</v>
      </c>
      <c r="I259" s="351" t="s">
        <v>24</v>
      </c>
      <c r="J259" s="352" t="s">
        <v>25</v>
      </c>
      <c r="K259" s="510"/>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14"/>
      <c r="C260" s="517"/>
      <c r="D260" s="517"/>
      <c r="E260" s="354" t="s">
        <v>26</v>
      </c>
      <c r="F260" s="354" t="s">
        <v>157</v>
      </c>
      <c r="G260" s="353" t="s">
        <v>26</v>
      </c>
      <c r="H260" s="354" t="s">
        <v>157</v>
      </c>
      <c r="I260" s="353" t="s">
        <v>26</v>
      </c>
      <c r="J260" s="354" t="s">
        <v>157</v>
      </c>
      <c r="K260" s="511"/>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53.9</v>
      </c>
      <c r="J262" s="790">
        <v>20.944210999999999</v>
      </c>
      <c r="K262" s="522" t="s">
        <v>207</v>
      </c>
      <c r="L262" s="552"/>
      <c r="M262" s="553"/>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334.83</v>
      </c>
      <c r="J263" s="788">
        <v>3.8119999999999998</v>
      </c>
      <c r="K263" s="522"/>
      <c r="L263" s="554"/>
      <c r="M263" s="555"/>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77.56</v>
      </c>
      <c r="J264" s="788">
        <v>49.413656000000003</v>
      </c>
      <c r="K264" s="522"/>
      <c r="L264" s="554"/>
      <c r="M264" s="555"/>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462.11</v>
      </c>
      <c r="J265" s="787">
        <v>30.783000000000001</v>
      </c>
      <c r="K265" s="502">
        <v>35.549999999999997</v>
      </c>
      <c r="L265" s="556"/>
      <c r="M265" s="557"/>
      <c r="N265" s="53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52">
        <v>202.07</v>
      </c>
      <c r="J266" s="787">
        <v>4.6680000000000001</v>
      </c>
      <c r="K266" s="502" t="s">
        <v>207</v>
      </c>
      <c r="L266" s="558"/>
      <c r="M266" s="559"/>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52">
        <v>313.2</v>
      </c>
      <c r="J267" s="787">
        <v>2.2475999999999998</v>
      </c>
      <c r="K267" s="502" t="s">
        <v>207</v>
      </c>
      <c r="L267" s="560"/>
      <c r="M267" s="561"/>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52">
        <v>76.86</v>
      </c>
      <c r="J268" s="787">
        <v>205.71900036396167</v>
      </c>
      <c r="K268" s="502"/>
      <c r="L268" s="558"/>
      <c r="M268" s="562"/>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114.34</v>
      </c>
      <c r="J269" s="787">
        <v>0.19500000000000001</v>
      </c>
      <c r="K269" s="546" t="s">
        <v>207</v>
      </c>
      <c r="L269" s="560"/>
      <c r="M269" s="561"/>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52">
        <v>115.84</v>
      </c>
      <c r="J270" s="787">
        <v>0.22700000000000001</v>
      </c>
      <c r="K270" s="546" t="s">
        <v>207</v>
      </c>
      <c r="L270" s="558"/>
      <c r="M270" s="562"/>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52">
        <v>40.64</v>
      </c>
      <c r="J271" s="787">
        <v>0.72799999999999998</v>
      </c>
      <c r="K271" s="546" t="s">
        <v>207</v>
      </c>
      <c r="L271" s="558"/>
      <c r="M271" s="562"/>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53">
        <v>45.37</v>
      </c>
      <c r="J272" s="787">
        <v>0.56799999999999995</v>
      </c>
      <c r="K272" s="546" t="s">
        <v>207</v>
      </c>
      <c r="L272" s="558"/>
      <c r="M272" s="562"/>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52">
        <v>74.27</v>
      </c>
      <c r="J273" s="787">
        <v>0.23200000000000001</v>
      </c>
      <c r="K273" s="546" t="s">
        <v>207</v>
      </c>
      <c r="L273" s="558"/>
      <c r="M273" s="562"/>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52">
        <v>81.97999999999999</v>
      </c>
      <c r="J274" s="787">
        <v>0.30599999999999999</v>
      </c>
      <c r="K274" s="546" t="s">
        <v>207</v>
      </c>
      <c r="L274" s="558"/>
      <c r="M274" s="562"/>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52">
        <v>69.53</v>
      </c>
      <c r="J275" s="787">
        <v>0.11600000000000001</v>
      </c>
      <c r="K275" s="546" t="s">
        <v>207</v>
      </c>
      <c r="L275" s="558"/>
      <c r="M275" s="562"/>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52">
        <v>46.5</v>
      </c>
      <c r="J276" s="787">
        <v>0.32100000000000001</v>
      </c>
      <c r="K276" s="546"/>
      <c r="L276" s="558"/>
      <c r="M276" s="562"/>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128.47</v>
      </c>
      <c r="J277" s="798">
        <v>86.94</v>
      </c>
      <c r="K277" s="522" t="s">
        <v>207</v>
      </c>
      <c r="L277" s="563"/>
      <c r="M277" s="564"/>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108.11</v>
      </c>
      <c r="J278" s="798">
        <v>0.19900000000000001</v>
      </c>
      <c r="K278" s="522" t="s">
        <v>207</v>
      </c>
      <c r="L278" s="563"/>
      <c r="M278" s="564"/>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200.16</v>
      </c>
      <c r="J279" s="798">
        <v>4.7E-2</v>
      </c>
      <c r="K279" s="522" t="s">
        <v>207</v>
      </c>
      <c r="L279" s="563"/>
      <c r="M279" s="564"/>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219.93</v>
      </c>
      <c r="J280" s="800">
        <v>0.28000000000000003</v>
      </c>
      <c r="K280" s="522" t="s">
        <v>207</v>
      </c>
      <c r="L280" s="565"/>
      <c r="M280" s="566"/>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195.56</v>
      </c>
      <c r="J281" s="798">
        <v>0.40100000000000002</v>
      </c>
      <c r="K281" s="522" t="s">
        <v>207</v>
      </c>
      <c r="L281" s="563"/>
      <c r="M281" s="564"/>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169.2</v>
      </c>
      <c r="J282" s="798">
        <v>8.4000000000000005E-2</v>
      </c>
      <c r="K282" s="522" t="s">
        <v>207</v>
      </c>
      <c r="L282" s="563"/>
      <c r="M282" s="564"/>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218.34</v>
      </c>
      <c r="J283" s="801">
        <v>5.0999999999999997E-2</v>
      </c>
      <c r="K283" s="522" t="s">
        <v>207</v>
      </c>
      <c r="L283" s="565"/>
      <c r="M283" s="566"/>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240.14</v>
      </c>
      <c r="J284" s="800">
        <v>0.23699999999999999</v>
      </c>
      <c r="K284" s="522" t="s">
        <v>207</v>
      </c>
      <c r="L284" s="565"/>
      <c r="M284" s="566"/>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146.54</v>
      </c>
      <c r="J285" s="800">
        <v>1.3839999999999999</v>
      </c>
      <c r="K285" s="522" t="s">
        <v>207</v>
      </c>
      <c r="L285" s="565"/>
      <c r="M285" s="566"/>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232.18</v>
      </c>
      <c r="J286" s="798">
        <v>3.1739999999999999</v>
      </c>
      <c r="K286" s="522" t="s">
        <v>207</v>
      </c>
      <c r="L286" s="563"/>
      <c r="M286" s="564"/>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325.41000000000003</v>
      </c>
      <c r="J287" s="800">
        <v>0.68700000000000006</v>
      </c>
      <c r="K287" s="522" t="s">
        <v>207</v>
      </c>
      <c r="L287" s="565"/>
      <c r="M287" s="566"/>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129.19999999999999</v>
      </c>
      <c r="J288" s="798">
        <v>0.5</v>
      </c>
      <c r="K288" s="522" t="s">
        <v>207</v>
      </c>
      <c r="L288" s="563"/>
      <c r="M288" s="564"/>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798">
        <v>0.51300000000000001</v>
      </c>
      <c r="K289" s="522" t="s">
        <v>207</v>
      </c>
      <c r="L289" s="563"/>
      <c r="M289" s="564"/>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96.97</v>
      </c>
      <c r="J290" s="800">
        <v>0.56399999999999995</v>
      </c>
      <c r="K290" s="522" t="s">
        <v>207</v>
      </c>
      <c r="L290" s="565"/>
      <c r="M290" s="566"/>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189.16</v>
      </c>
      <c r="J291" s="800">
        <v>6.8000000000000005E-2</v>
      </c>
      <c r="K291" s="522" t="s">
        <v>207</v>
      </c>
      <c r="L291" s="565"/>
      <c r="M291" s="566"/>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171.38</v>
      </c>
      <c r="J292" s="800">
        <v>0.10100000000000001</v>
      </c>
      <c r="K292" s="522" t="s">
        <v>207</v>
      </c>
      <c r="L292" s="565"/>
      <c r="M292" s="566"/>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151.09</v>
      </c>
      <c r="J293" s="802">
        <v>4.1429999999999998</v>
      </c>
      <c r="K293" s="522" t="s">
        <v>207</v>
      </c>
      <c r="L293" s="550"/>
      <c r="M293" s="567"/>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236.66</v>
      </c>
      <c r="J294" s="802">
        <v>1.236</v>
      </c>
      <c r="K294" s="522" t="s">
        <v>207</v>
      </c>
      <c r="L294" s="550"/>
      <c r="M294" s="567"/>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120.75</v>
      </c>
      <c r="J295" s="798">
        <v>4.1539999999999999</v>
      </c>
      <c r="K295" s="522" t="s">
        <v>207</v>
      </c>
      <c r="L295" s="563"/>
      <c r="M295" s="564"/>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109.53</v>
      </c>
      <c r="J296" s="798">
        <v>1.335</v>
      </c>
      <c r="K296" s="522" t="s">
        <v>207</v>
      </c>
      <c r="L296" s="563"/>
      <c r="M296" s="564"/>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64.400000000000006</v>
      </c>
      <c r="J297" s="802">
        <v>22.134</v>
      </c>
      <c r="K297" s="522"/>
      <c r="L297" s="550"/>
      <c r="M297" s="551"/>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162.94999999999999</v>
      </c>
      <c r="J298" s="794">
        <v>183.37</v>
      </c>
      <c r="K298" s="522" t="s">
        <v>207</v>
      </c>
      <c r="L298" s="550"/>
      <c r="M298" s="551"/>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228.99</v>
      </c>
      <c r="J299" s="802">
        <v>7.0149999999999997</v>
      </c>
      <c r="K299" s="522" t="s">
        <v>207</v>
      </c>
      <c r="L299" s="550"/>
      <c r="M299" s="551"/>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149.423</v>
      </c>
      <c r="J300" s="810">
        <v>11.04</v>
      </c>
      <c r="K300" s="524" t="s">
        <v>233</v>
      </c>
      <c r="L300" s="568"/>
      <c r="M300" s="569"/>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23">
        <v>35.26</v>
      </c>
      <c r="J301" s="798">
        <v>0.14399999999999999</v>
      </c>
      <c r="K301" s="543" t="s">
        <v>204</v>
      </c>
      <c r="L301" s="570"/>
      <c r="M301" s="569"/>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52">
        <v>70</v>
      </c>
      <c r="J302" s="798">
        <v>0.74399999999999999</v>
      </c>
      <c r="K302" s="544"/>
      <c r="L302" s="570"/>
      <c r="M302" s="569"/>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650.82546736396171</v>
      </c>
      <c r="K303" s="525"/>
      <c r="L303" s="535"/>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15" t="s">
        <v>69</v>
      </c>
      <c r="D304" s="515"/>
      <c r="E304" s="431"/>
      <c r="F304" s="428"/>
      <c r="G304" s="429"/>
      <c r="H304" s="430">
        <v>1</v>
      </c>
      <c r="I304" s="431"/>
      <c r="J304" s="357">
        <f>IFERROR(+J303/H303,0)</f>
        <v>1.0289681904496288</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5">
        <v>1736.79</v>
      </c>
      <c r="F305" s="432">
        <v>1</v>
      </c>
      <c r="G305" s="433" t="s">
        <v>68</v>
      </c>
      <c r="H305" s="432">
        <f>+H303/F303*100%</f>
        <v>0.3487012017985876</v>
      </c>
      <c r="I305" s="434"/>
      <c r="J305" s="358">
        <f>+J303/F303</f>
        <v>0.35880244462230354</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11</v>
      </c>
      <c r="G307" s="392" t="s">
        <v>277</v>
      </c>
      <c r="H307" s="581">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12" t="s">
        <v>18</v>
      </c>
      <c r="C308" s="515" t="s">
        <v>19</v>
      </c>
      <c r="D308" s="515" t="s">
        <v>75</v>
      </c>
      <c r="E308" s="816" t="s">
        <v>20</v>
      </c>
      <c r="F308" s="817"/>
      <c r="G308" s="507" t="s">
        <v>96</v>
      </c>
      <c r="H308" s="508"/>
      <c r="I308" s="816" t="s">
        <v>22</v>
      </c>
      <c r="J308" s="817"/>
      <c r="K308" s="509"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13"/>
      <c r="C309" s="516"/>
      <c r="D309" s="516"/>
      <c r="E309" s="352" t="s">
        <v>24</v>
      </c>
      <c r="F309" s="352" t="s">
        <v>25</v>
      </c>
      <c r="G309" s="351" t="s">
        <v>24</v>
      </c>
      <c r="H309" s="352" t="s">
        <v>25</v>
      </c>
      <c r="I309" s="351" t="s">
        <v>24</v>
      </c>
      <c r="J309" s="352" t="s">
        <v>25</v>
      </c>
      <c r="K309" s="510"/>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14"/>
      <c r="C310" s="517"/>
      <c r="D310" s="517"/>
      <c r="E310" s="354" t="s">
        <v>26</v>
      </c>
      <c r="F310" s="354" t="s">
        <v>157</v>
      </c>
      <c r="G310" s="353" t="s">
        <v>26</v>
      </c>
      <c r="H310" s="354" t="s">
        <v>157</v>
      </c>
      <c r="I310" s="353" t="s">
        <v>151</v>
      </c>
      <c r="J310" s="354" t="s">
        <v>157</v>
      </c>
      <c r="K310" s="511"/>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38">
        <v>2.1779999999999999</v>
      </c>
      <c r="I312" s="753">
        <v>53.84</v>
      </c>
      <c r="J312" s="786">
        <v>20.679850999999999</v>
      </c>
      <c r="K312" s="418" t="s">
        <v>207</v>
      </c>
      <c r="L312" s="519"/>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334.82</v>
      </c>
      <c r="J313" s="788">
        <v>3.8050000000000002</v>
      </c>
      <c r="K313" s="418" t="s">
        <v>207</v>
      </c>
      <c r="L313" s="526"/>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77.58</v>
      </c>
      <c r="J314" s="788">
        <v>49.545226</v>
      </c>
      <c r="K314" s="418"/>
      <c r="L314" s="526"/>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462.12</v>
      </c>
      <c r="J315" s="807">
        <v>30.951000000000001</v>
      </c>
      <c r="K315" s="418" t="s">
        <v>207</v>
      </c>
      <c r="L315" s="536"/>
      <c r="M315" s="537"/>
      <c r="N315" s="53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52">
        <v>202.07</v>
      </c>
      <c r="J316" s="788">
        <v>4.6680000000000001</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52">
        <v>313.2</v>
      </c>
      <c r="J317" s="788">
        <v>2.246</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52">
        <v>76.790000000000006</v>
      </c>
      <c r="J318" s="788">
        <v>204.32106814082263</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114.08</v>
      </c>
      <c r="J319" s="788">
        <v>0.11600000000000001</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52">
        <v>115.84</v>
      </c>
      <c r="J320" s="788">
        <v>0.22700000000000001</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52">
        <v>40.64</v>
      </c>
      <c r="J321" s="788">
        <v>0.72799999999999998</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53">
        <v>45.37</v>
      </c>
      <c r="J322" s="788">
        <v>0.56799999999999995</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52">
        <v>74.27</v>
      </c>
      <c r="J323" s="788">
        <v>0.23200000000000001</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52">
        <v>82.09</v>
      </c>
      <c r="J324" s="788">
        <v>0.32200000000000001</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52">
        <v>69.53</v>
      </c>
      <c r="J325" s="788">
        <v>0.11600000000000001</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52">
        <v>46.5</v>
      </c>
      <c r="J326" s="788">
        <v>0.32100000000000001</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347">
        <v>128.47</v>
      </c>
      <c r="J327" s="791">
        <v>86.94</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348">
        <v>108.16</v>
      </c>
      <c r="J328" s="791">
        <v>0.20200000000000001</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347">
        <v>200.16</v>
      </c>
      <c r="J329" s="791">
        <v>4.7E-2</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348">
        <v>219.93</v>
      </c>
      <c r="J330" s="792">
        <v>0.28000000000000003</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348">
        <v>195.53</v>
      </c>
      <c r="J331" s="791">
        <v>0.39800000000000002</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348">
        <v>169.2</v>
      </c>
      <c r="J332" s="791">
        <v>8.4000000000000005E-2</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492">
        <v>218.34</v>
      </c>
      <c r="J333" s="793">
        <v>5.0999999999999997E-2</v>
      </c>
      <c r="K333" s="518"/>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348">
        <v>240.1</v>
      </c>
      <c r="J334" s="792">
        <v>0.23300000000000001</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347">
        <v>146.49</v>
      </c>
      <c r="J335" s="792">
        <v>1.3620000000000001</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347">
        <v>232.18</v>
      </c>
      <c r="J336" s="791">
        <v>3.1739999999999999</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348">
        <v>325.36</v>
      </c>
      <c r="J337" s="792">
        <v>0.68200000000000005</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348">
        <v>129.19999999999999</v>
      </c>
      <c r="J338" s="791">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347">
        <v>282.77999999999997</v>
      </c>
      <c r="J339" s="791">
        <v>0.51300000000000001</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348">
        <v>96.96</v>
      </c>
      <c r="J340" s="792">
        <v>0.56100000000000005</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348">
        <v>189.16</v>
      </c>
      <c r="J341" s="792">
        <v>6.7000000000000004E-2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348">
        <v>171.37</v>
      </c>
      <c r="J342" s="792">
        <v>0.10100000000000001</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347">
        <v>151.08000000000001</v>
      </c>
      <c r="J343" s="794">
        <v>4.1210000000000004</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347">
        <v>236.66</v>
      </c>
      <c r="J344" s="794">
        <v>1.236</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347">
        <v>120.75</v>
      </c>
      <c r="J345" s="791">
        <v>4.1539999999999999</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347">
        <v>109.52</v>
      </c>
      <c r="J346" s="791">
        <v>1.327</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64.33</v>
      </c>
      <c r="J347" s="794">
        <v>22.009</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163</v>
      </c>
      <c r="J348" s="794">
        <v>183.77</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229.09</v>
      </c>
      <c r="J349" s="811">
        <v>7.4219999999999997</v>
      </c>
      <c r="K349" s="418" t="s">
        <v>207</v>
      </c>
      <c r="L349" s="519"/>
      <c r="M349" s="520"/>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149.173</v>
      </c>
      <c r="J350" s="810">
        <v>10.79</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52">
        <v>35.26</v>
      </c>
      <c r="J351" s="791">
        <v>0.14399999999999999</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52">
        <v>70</v>
      </c>
      <c r="J352" s="791">
        <v>0.74399999999999999</v>
      </c>
      <c r="K352" s="397"/>
      <c r="L352" s="712"/>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649.75814514082265</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0.76789857264344363</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0.35821402600307972</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-1.4006800000000001</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1811023622047245" header="0" footer="0"/>
  <pageSetup paperSize="9" scale="57"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topLeftCell="A4" zoomScale="85" zoomScaleNormal="85" workbookViewId="0">
      <selection activeCell="L23" sqref="L23"/>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54" t="s">
        <v>158</v>
      </c>
      <c r="C2" s="854"/>
      <c r="D2" s="854"/>
      <c r="E2" s="854"/>
      <c r="F2" s="854"/>
      <c r="G2" s="854"/>
      <c r="H2" s="854"/>
      <c r="I2" s="854"/>
      <c r="J2" s="854"/>
      <c r="K2" s="184"/>
    </row>
    <row r="3" spans="2:12" x14ac:dyDescent="0.2">
      <c r="B3" s="854" t="s">
        <v>272</v>
      </c>
      <c r="C3" s="854"/>
      <c r="D3" s="854"/>
      <c r="E3" s="854"/>
      <c r="F3" s="854"/>
      <c r="G3" s="854"/>
      <c r="H3" s="854"/>
      <c r="I3" s="854"/>
      <c r="J3" s="854"/>
      <c r="K3" s="184"/>
    </row>
    <row r="4" spans="2:12" x14ac:dyDescent="0.2">
      <c r="B4" s="855" t="str">
        <f>+UTAMA!B4</f>
        <v xml:space="preserve">MINGGU KE  III FEBRUARI  ( 10 FEBRUARI S/D 17 FEBRUARI 2020) dalam Juta m3  </v>
      </c>
      <c r="C4" s="855"/>
      <c r="D4" s="855"/>
      <c r="E4" s="855"/>
      <c r="F4" s="855"/>
      <c r="G4" s="855"/>
      <c r="H4" s="855"/>
      <c r="I4" s="855"/>
      <c r="J4" s="855"/>
      <c r="K4" s="185"/>
    </row>
    <row r="5" spans="2:12" ht="13.5" thickBot="1" x14ac:dyDescent="0.25">
      <c r="B5" s="177"/>
      <c r="C5" s="177"/>
      <c r="D5" s="177"/>
      <c r="E5" s="177"/>
      <c r="F5" s="177"/>
      <c r="G5" s="177"/>
      <c r="H5" s="177"/>
      <c r="I5" s="177"/>
      <c r="J5" s="177"/>
      <c r="K5" s="177"/>
    </row>
    <row r="6" spans="2:12" ht="14.25" x14ac:dyDescent="0.2">
      <c r="B6" s="860" t="s">
        <v>18</v>
      </c>
      <c r="C6" s="858" t="s">
        <v>19</v>
      </c>
      <c r="D6" s="856" t="s">
        <v>94</v>
      </c>
      <c r="E6" s="249" t="s">
        <v>25</v>
      </c>
      <c r="F6" s="864" t="s">
        <v>95</v>
      </c>
      <c r="G6" s="865"/>
      <c r="H6" s="862" t="s">
        <v>159</v>
      </c>
      <c r="I6" s="863"/>
      <c r="J6" s="245" t="s">
        <v>69</v>
      </c>
      <c r="K6" s="247" t="s">
        <v>127</v>
      </c>
    </row>
    <row r="7" spans="2:12" x14ac:dyDescent="0.2">
      <c r="B7" s="861"/>
      <c r="C7" s="859"/>
      <c r="D7" s="857"/>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55.73</v>
      </c>
      <c r="G9" s="182">
        <f>+UTAMA!I11</f>
        <v>55.08</v>
      </c>
      <c r="H9" s="183">
        <f>+UTAMA!H11</f>
        <v>30.887119999999999</v>
      </c>
      <c r="I9" s="183">
        <f>+UTAMA!J11</f>
        <v>27.218520000000002</v>
      </c>
      <c r="J9" s="202">
        <f>IFERROR(+I9/H9*100%*100,0)</f>
        <v>88.122557234212834</v>
      </c>
      <c r="K9" s="203"/>
    </row>
    <row r="10" spans="2:12" ht="15" customHeight="1" x14ac:dyDescent="0.2">
      <c r="B10" s="186">
        <f t="shared" ref="B10:B16" si="0">+B9+1</f>
        <v>2</v>
      </c>
      <c r="C10" s="187" t="s">
        <v>30</v>
      </c>
      <c r="D10" s="200">
        <v>17481</v>
      </c>
      <c r="E10" s="182">
        <v>49.02</v>
      </c>
      <c r="F10" s="178">
        <f>+UTAMA!G13</f>
        <v>74.11</v>
      </c>
      <c r="G10" s="179">
        <f>+UTAMA!I13</f>
        <v>77.78</v>
      </c>
      <c r="H10" s="180">
        <f>+UTAMA!H13</f>
        <v>29.641932000000001</v>
      </c>
      <c r="I10" s="181">
        <f>+UTAMA!J13</f>
        <v>50.873069999999998</v>
      </c>
      <c r="J10" s="202">
        <f>IFERROR(+I10/H10*100%*100,0)</f>
        <v>171.62535154591137</v>
      </c>
      <c r="K10" s="203"/>
    </row>
    <row r="11" spans="2:12" ht="15" customHeight="1" x14ac:dyDescent="0.2">
      <c r="B11" s="186">
        <f t="shared" si="0"/>
        <v>3</v>
      </c>
      <c r="C11" s="187" t="s">
        <v>31</v>
      </c>
      <c r="D11" s="200">
        <v>19972</v>
      </c>
      <c r="E11" s="182">
        <v>49.9</v>
      </c>
      <c r="F11" s="178">
        <f>+UTAMA!G14</f>
        <v>462.47</v>
      </c>
      <c r="G11" s="179">
        <f>+UTAMA!I14</f>
        <v>462.16</v>
      </c>
      <c r="H11" s="180">
        <f>+UTAMA!H14</f>
        <v>37.220999999999997</v>
      </c>
      <c r="I11" s="181">
        <f>+UTAMA!J14</f>
        <v>31.63</v>
      </c>
      <c r="J11" s="202">
        <f t="shared" ref="J11:J17" si="1">IFERROR(+I11/H11*100%*100,0)</f>
        <v>84.978909755245695</v>
      </c>
      <c r="K11" s="203"/>
      <c r="L11" s="545"/>
    </row>
    <row r="12" spans="2:12" ht="15" customHeight="1" x14ac:dyDescent="0.2">
      <c r="B12" s="186">
        <f t="shared" si="0"/>
        <v>4</v>
      </c>
      <c r="C12" s="187" t="s">
        <v>34</v>
      </c>
      <c r="D12" s="200">
        <v>59544</v>
      </c>
      <c r="E12" s="182">
        <v>689.09</v>
      </c>
      <c r="F12" s="178">
        <f>+UTAMA!G17</f>
        <v>83.91</v>
      </c>
      <c r="G12" s="182">
        <f>+UTAMA!I17</f>
        <v>77.09</v>
      </c>
      <c r="H12" s="180">
        <f>+UTAMA!H17</f>
        <v>418.86200000000002</v>
      </c>
      <c r="I12" s="180">
        <f>UTAMA!J17</f>
        <v>210.3578080498005</v>
      </c>
      <c r="J12" s="202">
        <f>IFERROR(+I12/H12*100%*100,0)</f>
        <v>50.221268114510387</v>
      </c>
      <c r="K12" s="204"/>
    </row>
    <row r="13" spans="2:12" ht="15" customHeight="1" x14ac:dyDescent="0.2">
      <c r="B13" s="186">
        <f t="shared" si="0"/>
        <v>5</v>
      </c>
      <c r="C13" s="187" t="s">
        <v>44</v>
      </c>
      <c r="D13" s="200">
        <v>28109</v>
      </c>
      <c r="E13" s="182">
        <v>440</v>
      </c>
      <c r="F13" s="178">
        <f>+UTAMA!G26</f>
        <v>132.68</v>
      </c>
      <c r="G13" s="179">
        <f>+UTAMA!I26</f>
        <v>129.72999999999999</v>
      </c>
      <c r="H13" s="183">
        <f>+UTAMA!H26</f>
        <v>205.321</v>
      </c>
      <c r="I13" s="183">
        <f>+UTAMA!J26</f>
        <v>107.88200000000001</v>
      </c>
      <c r="J13" s="202">
        <f t="shared" si="1"/>
        <v>52.543091062287836</v>
      </c>
      <c r="K13" s="204"/>
    </row>
    <row r="14" spans="2:12" ht="15" customHeight="1" x14ac:dyDescent="0.2">
      <c r="B14" s="186">
        <f t="shared" si="0"/>
        <v>6</v>
      </c>
      <c r="C14" s="187" t="s">
        <v>64</v>
      </c>
      <c r="D14" s="200">
        <v>6485</v>
      </c>
      <c r="E14" s="182">
        <v>38.036000000000001</v>
      </c>
      <c r="F14" s="178">
        <f>+UTAMA!G46</f>
        <v>65.599999999999994</v>
      </c>
      <c r="G14" s="179">
        <f>+UTAMA!I46</f>
        <v>64.77</v>
      </c>
      <c r="H14" s="180">
        <f>+UTAMA!H46</f>
        <v>24.260999999999999</v>
      </c>
      <c r="I14" s="181">
        <f>+UTAMA!J46</f>
        <v>22.792999999999999</v>
      </c>
      <c r="J14" s="202">
        <f t="shared" si="1"/>
        <v>93.949136474176669</v>
      </c>
      <c r="K14" s="204"/>
    </row>
    <row r="15" spans="2:12" ht="15" customHeight="1" x14ac:dyDescent="0.2">
      <c r="B15" s="186">
        <f t="shared" si="0"/>
        <v>7</v>
      </c>
      <c r="C15" s="187" t="s">
        <v>65</v>
      </c>
      <c r="D15" s="200">
        <v>31109</v>
      </c>
      <c r="E15" s="182">
        <v>388.72199999999998</v>
      </c>
      <c r="F15" s="178">
        <f>+UTAMA!G47</f>
        <v>169.5</v>
      </c>
      <c r="G15" s="179">
        <f>+UTAMA!I47</f>
        <v>163.44999999999999</v>
      </c>
      <c r="H15" s="180">
        <f>+UTAMA!H47</f>
        <v>238.97900000000001</v>
      </c>
      <c r="I15" s="181">
        <f>+UTAMA!J47</f>
        <v>187.37100000000001</v>
      </c>
      <c r="J15" s="202">
        <f t="shared" si="1"/>
        <v>78.404797074219914</v>
      </c>
      <c r="K15" s="204"/>
    </row>
    <row r="16" spans="2:12" ht="15" customHeight="1" x14ac:dyDescent="0.2">
      <c r="B16" s="186">
        <f t="shared" si="0"/>
        <v>8</v>
      </c>
      <c r="C16" s="187" t="s">
        <v>66</v>
      </c>
      <c r="D16" s="200">
        <v>8400</v>
      </c>
      <c r="E16" s="182">
        <v>23.24</v>
      </c>
      <c r="F16" s="178">
        <f>+UTAMA!G48</f>
        <v>227.73</v>
      </c>
      <c r="G16" s="179">
        <f>+UTAMA!I48</f>
        <v>230.48</v>
      </c>
      <c r="H16" s="180">
        <f>+UTAMA!H48</f>
        <v>3.6030000000000002</v>
      </c>
      <c r="I16" s="181">
        <f>+UTAMA!J48</f>
        <v>15.532999999999999</v>
      </c>
      <c r="J16" s="202">
        <f t="shared" si="1"/>
        <v>431.11296142103799</v>
      </c>
      <c r="K16" s="204"/>
      <c r="L16" s="545"/>
    </row>
    <row r="17" spans="2:11" ht="15" customHeight="1" x14ac:dyDescent="0.2">
      <c r="B17" s="455">
        <v>9</v>
      </c>
      <c r="C17" s="187" t="s">
        <v>236</v>
      </c>
      <c r="D17" s="200">
        <v>0</v>
      </c>
      <c r="E17" s="662">
        <v>17.670000000000002</v>
      </c>
      <c r="F17" s="663">
        <v>149.30000000000001</v>
      </c>
      <c r="G17" s="179">
        <f>+UTAMA!I49</f>
        <v>149.12899999999999</v>
      </c>
      <c r="H17" s="180">
        <f>+UTAMA!H49</f>
        <v>7.64</v>
      </c>
      <c r="I17" s="181">
        <f>+UTAMA!J49</f>
        <v>10.74</v>
      </c>
      <c r="J17" s="202">
        <f t="shared" si="1"/>
        <v>140.57591623036649</v>
      </c>
      <c r="K17" s="204"/>
    </row>
    <row r="18" spans="2:11" ht="15" customHeight="1" thickBot="1" x14ac:dyDescent="0.25">
      <c r="B18" s="624"/>
      <c r="C18" s="625" t="s">
        <v>91</v>
      </c>
      <c r="D18" s="626">
        <f>SUM(D9:D16)</f>
        <v>206262</v>
      </c>
      <c r="E18" s="664">
        <f>SUM(E9:E17)</f>
        <v>1726.8225980000002</v>
      </c>
      <c r="F18" s="665"/>
      <c r="G18" s="626"/>
      <c r="H18" s="627">
        <f>SUM(H9:H17)</f>
        <v>996.41605200000004</v>
      </c>
      <c r="I18" s="627">
        <f>SUM(I9:I17)</f>
        <v>664.39839804980056</v>
      </c>
      <c r="J18" s="666">
        <f>I18/H18*100</f>
        <v>66.678813204205639</v>
      </c>
      <c r="K18" s="628"/>
    </row>
    <row r="19" spans="2:11" ht="15" customHeight="1" thickBot="1" x14ac:dyDescent="0.25">
      <c r="B19" s="629"/>
      <c r="C19" s="630" t="s">
        <v>69</v>
      </c>
      <c r="D19" s="630"/>
      <c r="E19" s="631"/>
      <c r="F19" s="632"/>
      <c r="G19" s="633"/>
      <c r="H19" s="634" t="s">
        <v>97</v>
      </c>
      <c r="I19" s="635">
        <f>+I18/H18*100%</f>
        <v>0.66678813204205645</v>
      </c>
      <c r="J19" s="635"/>
      <c r="K19" s="636"/>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3</v>
      </c>
      <c r="K22" s="185"/>
    </row>
    <row r="23" spans="2:11" ht="15" customHeight="1" x14ac:dyDescent="0.2">
      <c r="B23" s="177"/>
      <c r="C23" s="177" t="s">
        <v>102</v>
      </c>
      <c r="D23" s="189" t="s">
        <v>100</v>
      </c>
      <c r="E23" s="189"/>
      <c r="F23" s="177" t="s">
        <v>103</v>
      </c>
      <c r="G23" s="177"/>
      <c r="H23" s="177"/>
      <c r="I23" s="251" t="s">
        <v>192</v>
      </c>
      <c r="J23" s="344">
        <f>COUNTIFS(J9:J17,"&gt;=85",J9:J17,"&lt;=100")</f>
        <v>2</v>
      </c>
      <c r="K23" s="185"/>
    </row>
    <row r="24" spans="2:11" ht="15" customHeight="1" x14ac:dyDescent="0.2">
      <c r="B24" s="177"/>
      <c r="C24" s="177" t="s">
        <v>104</v>
      </c>
      <c r="D24" s="189" t="s">
        <v>100</v>
      </c>
      <c r="E24" s="189"/>
      <c r="F24" s="177" t="s">
        <v>105</v>
      </c>
      <c r="G24" s="177"/>
      <c r="H24" s="177"/>
      <c r="I24" s="251" t="s">
        <v>192</v>
      </c>
      <c r="J24" s="343">
        <f>COUNTIFS(J9:J17,"&gt;0",J9:J17,"&lt;85")</f>
        <v>4</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53" t="s">
        <v>91</v>
      </c>
      <c r="H26" s="853"/>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5" zoomScale="85" zoomScaleNormal="85" workbookViewId="0">
      <selection activeCell="A5" sqref="A5:J4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66" t="s">
        <v>160</v>
      </c>
      <c r="C2" s="866"/>
      <c r="D2" s="866"/>
      <c r="E2" s="866"/>
      <c r="F2" s="866"/>
      <c r="G2" s="866"/>
      <c r="H2" s="866"/>
      <c r="I2" s="866"/>
      <c r="J2" s="866"/>
    </row>
    <row r="3" spans="2:10" ht="15.75" x14ac:dyDescent="0.2">
      <c r="B3" s="866" t="s">
        <v>272</v>
      </c>
      <c r="C3" s="866"/>
      <c r="D3" s="866"/>
      <c r="E3" s="866"/>
      <c r="F3" s="866"/>
      <c r="G3" s="866"/>
      <c r="H3" s="866"/>
      <c r="I3" s="866"/>
      <c r="J3" s="866"/>
    </row>
    <row r="4" spans="2:10" ht="15.75" x14ac:dyDescent="0.2">
      <c r="B4" s="866" t="str">
        <f>+UTAMA!B4</f>
        <v xml:space="preserve">MINGGU KE  III FEBRUARI  ( 10 FEBRUARI S/D 17 FEBRUARI 2020) dalam Juta m3  </v>
      </c>
      <c r="C4" s="866"/>
      <c r="D4" s="866"/>
      <c r="E4" s="866"/>
      <c r="F4" s="866"/>
      <c r="G4" s="866"/>
      <c r="H4" s="866"/>
      <c r="I4" s="866"/>
      <c r="J4" s="866"/>
    </row>
    <row r="5" spans="2:10" ht="13.5" thickBot="1" x14ac:dyDescent="0.25"/>
    <row r="6" spans="2:10" ht="21" customHeight="1" x14ac:dyDescent="0.2">
      <c r="B6" s="869" t="s">
        <v>18</v>
      </c>
      <c r="C6" s="867" t="s">
        <v>19</v>
      </c>
      <c r="D6" s="330" t="s">
        <v>107</v>
      </c>
      <c r="E6" s="331" t="s">
        <v>25</v>
      </c>
      <c r="F6" s="871" t="s">
        <v>108</v>
      </c>
      <c r="G6" s="872"/>
      <c r="H6" s="873" t="s">
        <v>161</v>
      </c>
      <c r="I6" s="874"/>
      <c r="J6" s="332" t="s">
        <v>69</v>
      </c>
    </row>
    <row r="7" spans="2:10" ht="15.75" x14ac:dyDescent="0.25">
      <c r="B7" s="870"/>
      <c r="C7" s="868"/>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hidden="1" x14ac:dyDescent="0.25">
      <c r="B9" s="210">
        <v>1</v>
      </c>
      <c r="C9" s="212" t="s">
        <v>29</v>
      </c>
      <c r="D9" s="213">
        <v>28310</v>
      </c>
      <c r="E9" s="214">
        <v>7.77</v>
      </c>
      <c r="F9" s="172">
        <f>+UTAMA!G13</f>
        <v>74.11</v>
      </c>
      <c r="G9" s="174">
        <f>+UTAMA!I13</f>
        <v>77.78</v>
      </c>
      <c r="H9" s="173">
        <f>+UTAMA!H12</f>
        <v>7.0949999999999998</v>
      </c>
      <c r="I9" s="173">
        <f>+UTAMA!J12</f>
        <v>4.0119999999999996</v>
      </c>
      <c r="J9" s="243">
        <f t="shared" ref="J9:J39" si="0">IFERROR(+I9/H9*100%*100,0)</f>
        <v>56.546863988724446</v>
      </c>
    </row>
    <row r="10" spans="2:10" ht="15.75" hidden="1" x14ac:dyDescent="0.25">
      <c r="B10" s="210">
        <f>1+B9</f>
        <v>2</v>
      </c>
      <c r="C10" s="212" t="s">
        <v>32</v>
      </c>
      <c r="D10" s="213">
        <v>4959</v>
      </c>
      <c r="E10" s="214">
        <v>9.5030000000000001</v>
      </c>
      <c r="F10" s="172">
        <f>+UTAMA!G15</f>
        <v>204.19</v>
      </c>
      <c r="G10" s="174">
        <f>+UTAMA!I15</f>
        <v>203.07</v>
      </c>
      <c r="H10" s="173">
        <f>+UTAMA!H15</f>
        <v>6.4459999999999997</v>
      </c>
      <c r="I10" s="173">
        <f>UTAMA!J15</f>
        <v>5.4569999999999999</v>
      </c>
      <c r="J10" s="243">
        <f t="shared" si="0"/>
        <v>84.657151721998133</v>
      </c>
    </row>
    <row r="11" spans="2:10" ht="15.75" hidden="1" x14ac:dyDescent="0.25">
      <c r="B11" s="210">
        <f t="shared" ref="B11:B40" si="1">+B10+1</f>
        <v>3</v>
      </c>
      <c r="C11" s="212" t="s">
        <v>33</v>
      </c>
      <c r="D11" s="213">
        <v>6052</v>
      </c>
      <c r="E11" s="214">
        <v>5.1509999999999998</v>
      </c>
      <c r="F11" s="172">
        <f>+UTAMA!G16</f>
        <v>315.45</v>
      </c>
      <c r="G11" s="174">
        <f>+UTAMA!I16</f>
        <v>314</v>
      </c>
      <c r="H11" s="173">
        <f>+UTAMA!H16</f>
        <v>3.12</v>
      </c>
      <c r="I11" s="173">
        <f>UTAMA!J16</f>
        <v>2.5459999999999998</v>
      </c>
      <c r="J11" s="243">
        <f t="shared" si="0"/>
        <v>81.602564102564088</v>
      </c>
    </row>
    <row r="12" spans="2:10" ht="15.75" hidden="1" x14ac:dyDescent="0.25">
      <c r="B12" s="210">
        <f t="shared" si="1"/>
        <v>4</v>
      </c>
      <c r="C12" s="212" t="s">
        <v>35</v>
      </c>
      <c r="D12" s="213">
        <v>923</v>
      </c>
      <c r="E12" s="214">
        <v>2.0920000000000001</v>
      </c>
      <c r="F12" s="172">
        <f>+UTAMA!G18</f>
        <v>114.77</v>
      </c>
      <c r="G12" s="176">
        <f>+UTAMA!I18</f>
        <v>115.93</v>
      </c>
      <c r="H12" s="173">
        <f>+UTAMA!H18</f>
        <v>0.81100000000000005</v>
      </c>
      <c r="I12" s="215">
        <f>UTAMA!J18</f>
        <v>0.504</v>
      </c>
      <c r="J12" s="243">
        <f t="shared" si="0"/>
        <v>62.145499383477187</v>
      </c>
    </row>
    <row r="13" spans="2:10" ht="15.75" hidden="1" x14ac:dyDescent="0.25">
      <c r="B13" s="210">
        <f t="shared" si="1"/>
        <v>5</v>
      </c>
      <c r="C13" s="212" t="s">
        <v>36</v>
      </c>
      <c r="D13" s="213">
        <v>251</v>
      </c>
      <c r="E13" s="214">
        <v>2.3519999999999999</v>
      </c>
      <c r="F13" s="172">
        <f>+UTAMA!G19</f>
        <v>116.54</v>
      </c>
      <c r="G13" s="176">
        <f>+UTAMA!I19</f>
        <v>115.86</v>
      </c>
      <c r="H13" s="173">
        <f>+UTAMA!H19</f>
        <v>0.66100000000000003</v>
      </c>
      <c r="I13" s="215">
        <f>UTAMA!J19</f>
        <v>0.23</v>
      </c>
      <c r="J13" s="547">
        <f t="shared" si="0"/>
        <v>34.795763993948562</v>
      </c>
    </row>
    <row r="14" spans="2:10" ht="15.75" hidden="1" x14ac:dyDescent="0.25">
      <c r="B14" s="210">
        <f t="shared" si="1"/>
        <v>6</v>
      </c>
      <c r="C14" s="212" t="s">
        <v>37</v>
      </c>
      <c r="D14" s="213">
        <v>440</v>
      </c>
      <c r="E14" s="214">
        <v>4.5999999999999996</v>
      </c>
      <c r="F14" s="172">
        <f>+UTAMA!G20</f>
        <v>42.69</v>
      </c>
      <c r="G14" s="176">
        <f>+UTAMA!I20</f>
        <v>40.64</v>
      </c>
      <c r="H14" s="173">
        <f>+UTAMA!H20</f>
        <v>1.8520000000000001</v>
      </c>
      <c r="I14" s="215">
        <f>UTAMA!J20</f>
        <v>0.72799999999999998</v>
      </c>
      <c r="J14" s="243">
        <f t="shared" si="0"/>
        <v>39.30885529157667</v>
      </c>
    </row>
    <row r="15" spans="2:10" ht="15.75" hidden="1" x14ac:dyDescent="0.25">
      <c r="B15" s="210">
        <f t="shared" si="1"/>
        <v>7</v>
      </c>
      <c r="C15" s="212" t="s">
        <v>39</v>
      </c>
      <c r="D15" s="213">
        <v>775</v>
      </c>
      <c r="E15" s="214">
        <v>2.4159999999999999</v>
      </c>
      <c r="F15" s="172">
        <f>+UTAMA!G21</f>
        <v>48.72</v>
      </c>
      <c r="G15" s="174">
        <f>+UTAMA!I21</f>
        <v>45.31</v>
      </c>
      <c r="H15" s="173">
        <f>+UTAMA!H21</f>
        <v>1.472</v>
      </c>
      <c r="I15" s="173">
        <f>UTAMA!J21</f>
        <v>0.55700000000000005</v>
      </c>
      <c r="J15" s="243">
        <f t="shared" si="0"/>
        <v>37.839673913043484</v>
      </c>
    </row>
    <row r="16" spans="2:10" ht="15.75" hidden="1" x14ac:dyDescent="0.25">
      <c r="B16" s="210">
        <f t="shared" si="1"/>
        <v>8</v>
      </c>
      <c r="C16" s="212" t="s">
        <v>40</v>
      </c>
      <c r="D16" s="213">
        <v>750</v>
      </c>
      <c r="E16" s="214">
        <v>1.093</v>
      </c>
      <c r="F16" s="172">
        <f>+UTAMA!G22</f>
        <v>79.569999999999993</v>
      </c>
      <c r="G16" s="174">
        <f>+UTAMA!I22</f>
        <v>74.42</v>
      </c>
      <c r="H16" s="173">
        <f>+UTAMA!H22</f>
        <v>0.86699999999999999</v>
      </c>
      <c r="I16" s="173">
        <f>UTAMA!J22</f>
        <v>0.249</v>
      </c>
      <c r="J16" s="243">
        <f t="shared" si="0"/>
        <v>28.719723183391004</v>
      </c>
    </row>
    <row r="17" spans="2:10" ht="15.75" hidden="1" x14ac:dyDescent="0.25">
      <c r="B17" s="210">
        <f t="shared" si="1"/>
        <v>9</v>
      </c>
      <c r="C17" s="212" t="s">
        <v>41</v>
      </c>
      <c r="D17" s="213">
        <v>482</v>
      </c>
      <c r="E17" s="214">
        <v>0.42899999999999999</v>
      </c>
      <c r="F17" s="172">
        <f>+UTAMA!G23</f>
        <v>82.68</v>
      </c>
      <c r="G17" s="174">
        <f>+UTAMA!I23</f>
        <v>81.319999999999993</v>
      </c>
      <c r="H17" s="173">
        <f>+UTAMA!H23</f>
        <v>0.40899999999999997</v>
      </c>
      <c r="I17" s="173">
        <f>UTAMA!J23</f>
        <v>0.22</v>
      </c>
      <c r="J17" s="548">
        <f t="shared" si="0"/>
        <v>53.789731051344745</v>
      </c>
    </row>
    <row r="18" spans="2:10" ht="15.75" hidden="1" x14ac:dyDescent="0.25">
      <c r="B18" s="210">
        <f t="shared" si="1"/>
        <v>10</v>
      </c>
      <c r="C18" s="212" t="s">
        <v>42</v>
      </c>
      <c r="D18" s="213">
        <v>366</v>
      </c>
      <c r="E18" s="214">
        <v>0.25</v>
      </c>
      <c r="F18" s="172">
        <f>+UTAMA!G24</f>
        <v>69.23</v>
      </c>
      <c r="G18" s="176">
        <f>+UTAMA!I24</f>
        <v>69.510000000000005</v>
      </c>
      <c r="H18" s="173">
        <f>+UTAMA!H24</f>
        <v>0.15</v>
      </c>
      <c r="I18" s="215">
        <f>UTAMA!J24</f>
        <v>0.124</v>
      </c>
      <c r="J18" s="243">
        <f t="shared" si="0"/>
        <v>82.666666666666671</v>
      </c>
    </row>
    <row r="19" spans="2:10" ht="15.75" hidden="1" x14ac:dyDescent="0.25">
      <c r="B19" s="210">
        <f>+B18+1</f>
        <v>11</v>
      </c>
      <c r="C19" s="212" t="s">
        <v>43</v>
      </c>
      <c r="D19" s="213">
        <v>260</v>
      </c>
      <c r="E19" s="214">
        <v>0.38</v>
      </c>
      <c r="F19" s="172">
        <f>+UTAMA!G25</f>
        <v>45.77</v>
      </c>
      <c r="G19" s="176">
        <f>+UTAMA!I25</f>
        <v>46.56</v>
      </c>
      <c r="H19" s="173">
        <f>+UTAMA!H25</f>
        <v>8.4000000000000005E-2</v>
      </c>
      <c r="I19" s="215">
        <f>UTAMA!J25</f>
        <v>0.33</v>
      </c>
      <c r="J19" s="243">
        <f t="shared" si="0"/>
        <v>392.85714285714283</v>
      </c>
    </row>
    <row r="20" spans="2:10" ht="15.75" hidden="1" x14ac:dyDescent="0.25">
      <c r="B20" s="210">
        <f>+B19+1</f>
        <v>12</v>
      </c>
      <c r="C20" s="212" t="s">
        <v>45</v>
      </c>
      <c r="D20" s="213">
        <v>874</v>
      </c>
      <c r="E20" s="214">
        <v>3.75</v>
      </c>
      <c r="F20" s="172">
        <f>+UTAMA!G27</f>
        <v>109.52</v>
      </c>
      <c r="G20" s="176">
        <f>+UTAMA!I27</f>
        <v>110.81</v>
      </c>
      <c r="H20" s="173">
        <f>+UTAMA!H27</f>
        <v>0.27100000000000002</v>
      </c>
      <c r="I20" s="215">
        <f>+UTAMA!J27</f>
        <v>0.33800000000000002</v>
      </c>
      <c r="J20" s="243">
        <f t="shared" si="0"/>
        <v>124.72324723247232</v>
      </c>
    </row>
    <row r="21" spans="2:10" ht="15.75" hidden="1" x14ac:dyDescent="0.25">
      <c r="B21" s="210">
        <f>+B20+1</f>
        <v>13</v>
      </c>
      <c r="C21" s="212" t="s">
        <v>46</v>
      </c>
      <c r="D21" s="213">
        <v>392</v>
      </c>
      <c r="E21" s="214">
        <v>1.2</v>
      </c>
      <c r="F21" s="172">
        <f>+UTAMA!G28</f>
        <v>202.5</v>
      </c>
      <c r="G21" s="176">
        <f>+UTAMA!I28</f>
        <v>200.4</v>
      </c>
      <c r="H21" s="173">
        <v>0.377</v>
      </c>
      <c r="I21" s="215">
        <f>+UTAMA!J28</f>
        <v>0.06</v>
      </c>
      <c r="J21" s="243">
        <f t="shared" si="0"/>
        <v>15.915119363395224</v>
      </c>
    </row>
    <row r="22" spans="2:10" ht="15.75" hidden="1" x14ac:dyDescent="0.25">
      <c r="B22" s="210">
        <f t="shared" si="1"/>
        <v>14</v>
      </c>
      <c r="C22" s="212" t="s">
        <v>47</v>
      </c>
      <c r="D22" s="213">
        <v>500</v>
      </c>
      <c r="E22" s="214">
        <v>0.65</v>
      </c>
      <c r="F22" s="172">
        <f>+UTAMA!G29</f>
        <v>222.5</v>
      </c>
      <c r="G22" s="176">
        <f>+UTAMA!I29</f>
        <v>220.05</v>
      </c>
      <c r="H22" s="173">
        <f>+UTAMA!H29</f>
        <v>0.46200000000000002</v>
      </c>
      <c r="I22" s="215">
        <f>+UTAMA!J29</f>
        <v>0.28799999999999998</v>
      </c>
      <c r="J22" s="548">
        <f t="shared" si="0"/>
        <v>62.337662337662323</v>
      </c>
    </row>
    <row r="23" spans="2:10" ht="15.75" hidden="1" x14ac:dyDescent="0.25">
      <c r="B23" s="210">
        <f t="shared" si="1"/>
        <v>15</v>
      </c>
      <c r="C23" s="212" t="s">
        <v>48</v>
      </c>
      <c r="D23" s="213">
        <v>700</v>
      </c>
      <c r="E23" s="214">
        <v>1.58</v>
      </c>
      <c r="F23" s="172">
        <f>+UTAMA!G30</f>
        <v>193.5</v>
      </c>
      <c r="G23" s="176">
        <f>+UTAMA!I30</f>
        <v>196.02</v>
      </c>
      <c r="H23" s="173">
        <f>+UTAMA!H30</f>
        <v>0.19600000000000001</v>
      </c>
      <c r="I23" s="215">
        <f>+UTAMA!J30</f>
        <v>0.45600000000000002</v>
      </c>
      <c r="J23" s="548">
        <f t="shared" si="0"/>
        <v>232.65306122448979</v>
      </c>
    </row>
    <row r="24" spans="2:10" ht="15.75" hidden="1" x14ac:dyDescent="0.25">
      <c r="B24" s="210">
        <f t="shared" si="1"/>
        <v>16</v>
      </c>
      <c r="C24" s="212" t="s">
        <v>49</v>
      </c>
      <c r="D24" s="213">
        <v>87</v>
      </c>
      <c r="E24" s="214">
        <v>0.47899999999999998</v>
      </c>
      <c r="F24" s="172">
        <f>+UTAMA!G31</f>
        <v>170</v>
      </c>
      <c r="G24" s="176">
        <f>+UTAMA!I31</f>
        <v>169.28</v>
      </c>
      <c r="H24" s="173">
        <f>+UTAMA!H31</f>
        <v>0.125</v>
      </c>
      <c r="I24" s="215">
        <f>+UTAMA!J31</f>
        <v>8.8999999999999996E-2</v>
      </c>
      <c r="J24" s="243">
        <f t="shared" si="0"/>
        <v>71.2</v>
      </c>
    </row>
    <row r="25" spans="2:10" ht="15.75" hidden="1" x14ac:dyDescent="0.25">
      <c r="B25" s="210">
        <f t="shared" si="1"/>
        <v>17</v>
      </c>
      <c r="C25" s="212" t="s">
        <v>50</v>
      </c>
      <c r="D25" s="213">
        <v>354</v>
      </c>
      <c r="E25" s="214">
        <v>0.79</v>
      </c>
      <c r="F25" s="172">
        <f>+UTAMA!G32</f>
        <v>226.5</v>
      </c>
      <c r="G25" s="176">
        <f>+UTAMA!I32</f>
        <v>218.67</v>
      </c>
      <c r="H25" s="173">
        <f>+UTAMA!H32</f>
        <v>0.57399999999999995</v>
      </c>
      <c r="I25" s="215">
        <f>+UTAMA!J32</f>
        <v>6.2E-2</v>
      </c>
      <c r="J25" s="243">
        <f t="shared" si="0"/>
        <v>10.801393728222997</v>
      </c>
    </row>
    <row r="26" spans="2:10" ht="15.75" hidden="1" x14ac:dyDescent="0.25">
      <c r="B26" s="210">
        <f t="shared" si="1"/>
        <v>18</v>
      </c>
      <c r="C26" s="212" t="s">
        <v>51</v>
      </c>
      <c r="D26" s="213">
        <v>637</v>
      </c>
      <c r="E26" s="214">
        <v>2.12</v>
      </c>
      <c r="F26" s="172">
        <f>+UTAMA!G33</f>
        <v>241.63</v>
      </c>
      <c r="G26" s="176">
        <f>+UTAMA!I33</f>
        <v>241.6</v>
      </c>
      <c r="H26" s="173">
        <f>+UTAMA!H33</f>
        <v>0.41599999999999998</v>
      </c>
      <c r="I26" s="215">
        <f>+UTAMA!J33</f>
        <v>0.41199999999999998</v>
      </c>
      <c r="J26" s="243">
        <f t="shared" si="0"/>
        <v>99.038461538461547</v>
      </c>
    </row>
    <row r="27" spans="2:10" ht="15.75" hidden="1" x14ac:dyDescent="0.25">
      <c r="B27" s="210">
        <f t="shared" si="1"/>
        <v>19</v>
      </c>
      <c r="C27" s="212" t="s">
        <v>52</v>
      </c>
      <c r="D27" s="213">
        <v>7394</v>
      </c>
      <c r="E27" s="214">
        <v>5</v>
      </c>
      <c r="F27" s="172">
        <f>+UTAMA!G34</f>
        <v>145.69999999999999</v>
      </c>
      <c r="G27" s="174">
        <f>+UTAMA!I34</f>
        <v>146.82</v>
      </c>
      <c r="H27" s="173">
        <f>+UTAMA!H34</f>
        <v>1.018</v>
      </c>
      <c r="I27" s="173">
        <f>+UTAMA!J34</f>
        <v>1.51</v>
      </c>
      <c r="J27" s="243">
        <f t="shared" si="0"/>
        <v>148.33005893909629</v>
      </c>
    </row>
    <row r="28" spans="2:10" ht="15.75" hidden="1" x14ac:dyDescent="0.25">
      <c r="B28" s="210">
        <f t="shared" si="1"/>
        <v>20</v>
      </c>
      <c r="C28" s="212" t="s">
        <v>53</v>
      </c>
      <c r="D28" s="213">
        <v>2410</v>
      </c>
      <c r="E28" s="214">
        <v>4.2</v>
      </c>
      <c r="F28" s="172">
        <f>+UTAMA!G35</f>
        <v>230.5</v>
      </c>
      <c r="G28" s="174">
        <f>+UTAMA!I35</f>
        <v>232.27</v>
      </c>
      <c r="H28" s="173">
        <f>+UTAMA!H35</f>
        <v>2.2130000000000001</v>
      </c>
      <c r="I28" s="173">
        <f>+UTAMA!J35</f>
        <v>3.23</v>
      </c>
      <c r="J28" s="243">
        <f t="shared" si="0"/>
        <v>145.95571622232265</v>
      </c>
    </row>
    <row r="29" spans="2:10" ht="15.75" x14ac:dyDescent="0.25">
      <c r="B29" s="210">
        <f t="shared" si="1"/>
        <v>21</v>
      </c>
      <c r="C29" s="212" t="s">
        <v>54</v>
      </c>
      <c r="D29" s="213">
        <v>1370</v>
      </c>
      <c r="E29" s="214">
        <v>0.7</v>
      </c>
      <c r="F29" s="172">
        <f>+UTAMA!G36</f>
        <v>323.5</v>
      </c>
      <c r="G29" s="176">
        <f>+UTAMA!I36</f>
        <v>325.5</v>
      </c>
      <c r="H29" s="173">
        <f>+UTAMA!H36</f>
        <v>0.51800000000000002</v>
      </c>
      <c r="I29" s="215">
        <f>+UTAMA!J36</f>
        <v>0.69499999999999995</v>
      </c>
      <c r="J29" s="548">
        <f t="shared" si="0"/>
        <v>134.16988416988417</v>
      </c>
    </row>
    <row r="30" spans="2:10" ht="15.75" x14ac:dyDescent="0.25">
      <c r="B30" s="210">
        <f t="shared" si="1"/>
        <v>22</v>
      </c>
      <c r="C30" s="212" t="s">
        <v>55</v>
      </c>
      <c r="D30" s="213">
        <v>358</v>
      </c>
      <c r="E30" s="214">
        <v>0.5</v>
      </c>
      <c r="F30" s="172">
        <f>+UTAMA!G37</f>
        <v>126.56</v>
      </c>
      <c r="G30" s="176">
        <f>+UTAMA!I37</f>
        <v>129.19999999999999</v>
      </c>
      <c r="H30" s="173">
        <f>+UTAMA!H37</f>
        <v>0.222</v>
      </c>
      <c r="I30" s="215">
        <f>+UTAMA!J37</f>
        <v>0.5</v>
      </c>
      <c r="J30" s="243">
        <f t="shared" si="0"/>
        <v>225.22522522522524</v>
      </c>
    </row>
    <row r="31" spans="2:10" ht="15.75" x14ac:dyDescent="0.25">
      <c r="B31" s="210">
        <f t="shared" si="1"/>
        <v>23</v>
      </c>
      <c r="C31" s="212" t="s">
        <v>56</v>
      </c>
      <c r="D31" s="213">
        <v>268</v>
      </c>
      <c r="E31" s="214">
        <v>0.51</v>
      </c>
      <c r="F31" s="172">
        <f>+UTAMA!G38</f>
        <v>279.64999999999998</v>
      </c>
      <c r="G31" s="174">
        <f>+UTAMA!I38</f>
        <v>282.77999999999997</v>
      </c>
      <c r="H31" s="173">
        <f>+UTAMA!H38</f>
        <v>0.17699999999999999</v>
      </c>
      <c r="I31" s="215">
        <f>+UTAMA!J38</f>
        <v>0.51300000000000001</v>
      </c>
      <c r="J31" s="243">
        <f t="shared" si="0"/>
        <v>289.83050847457628</v>
      </c>
    </row>
    <row r="32" spans="2:10" ht="15.75" x14ac:dyDescent="0.25">
      <c r="B32" s="210">
        <f t="shared" si="1"/>
        <v>24</v>
      </c>
      <c r="C32" s="212" t="s">
        <v>57</v>
      </c>
      <c r="D32" s="213">
        <v>892</v>
      </c>
      <c r="E32" s="214">
        <v>2.6</v>
      </c>
      <c r="F32" s="172">
        <f>+UTAMA!G39</f>
        <v>98</v>
      </c>
      <c r="G32" s="176">
        <f>+UTAMA!I39</f>
        <v>97.2</v>
      </c>
      <c r="H32" s="173">
        <f>+UTAMA!H39</f>
        <v>0.78700000000000003</v>
      </c>
      <c r="I32" s="215">
        <f>+UTAMA!J39</f>
        <v>0.61599999999999999</v>
      </c>
      <c r="J32" s="243">
        <f t="shared" si="0"/>
        <v>78.271918678526049</v>
      </c>
    </row>
    <row r="33" spans="2:13" ht="15.75" x14ac:dyDescent="0.25">
      <c r="B33" s="210">
        <f t="shared" si="1"/>
        <v>25</v>
      </c>
      <c r="C33" s="212" t="s">
        <v>58</v>
      </c>
      <c r="D33" s="213">
        <v>274</v>
      </c>
      <c r="E33" s="214">
        <v>0.08</v>
      </c>
      <c r="F33" s="172">
        <f>+UTAMA!G40</f>
        <v>189</v>
      </c>
      <c r="G33" s="176">
        <f>+UTAMA!I40</f>
        <v>189.17</v>
      </c>
      <c r="H33" s="173">
        <f>+UTAMA!H40</f>
        <v>5.8999999999999997E-2</v>
      </c>
      <c r="I33" s="215">
        <f>+UTAMA!J40</f>
        <v>6.7000000000000004E-2</v>
      </c>
      <c r="J33" s="243">
        <f t="shared" si="0"/>
        <v>113.55932203389831</v>
      </c>
    </row>
    <row r="34" spans="2:13" ht="15.75" x14ac:dyDescent="0.25">
      <c r="B34" s="210">
        <f t="shared" si="1"/>
        <v>26</v>
      </c>
      <c r="C34" s="212" t="s">
        <v>59</v>
      </c>
      <c r="D34" s="213">
        <v>295</v>
      </c>
      <c r="E34" s="214">
        <v>0.09</v>
      </c>
      <c r="F34" s="172">
        <f>+UTAMA!G41</f>
        <v>170.27</v>
      </c>
      <c r="G34" s="176">
        <f>+UTAMA!I41</f>
        <v>171.45</v>
      </c>
      <c r="H34" s="173">
        <f>+UTAMA!H41</f>
        <v>7.3999999999999996E-2</v>
      </c>
      <c r="I34" s="215">
        <f>+UTAMA!J41</f>
        <v>0.10299999999999999</v>
      </c>
      <c r="J34" s="243">
        <f t="shared" si="0"/>
        <v>139.18918918918919</v>
      </c>
    </row>
    <row r="35" spans="2:13" ht="15.75" x14ac:dyDescent="0.25">
      <c r="B35" s="210">
        <f t="shared" si="1"/>
        <v>27</v>
      </c>
      <c r="C35" s="212" t="s">
        <v>60</v>
      </c>
      <c r="D35" s="213">
        <v>1570</v>
      </c>
      <c r="E35" s="214">
        <v>9.157</v>
      </c>
      <c r="F35" s="172">
        <f>+UTAMA!G42</f>
        <v>151.47</v>
      </c>
      <c r="G35" s="174">
        <f>+UTAMA!I42</f>
        <v>151.16999999999999</v>
      </c>
      <c r="H35" s="173">
        <f>+UTAMA!H42</f>
        <v>4.984</v>
      </c>
      <c r="I35" s="173">
        <f>+UTAMA!J42</f>
        <v>4.32</v>
      </c>
      <c r="J35" s="243">
        <f t="shared" si="0"/>
        <v>86.677367576243995</v>
      </c>
    </row>
    <row r="36" spans="2:13" ht="15.75" x14ac:dyDescent="0.25">
      <c r="B36" s="210">
        <f t="shared" si="1"/>
        <v>28</v>
      </c>
      <c r="C36" s="212" t="s">
        <v>61</v>
      </c>
      <c r="D36" s="213">
        <v>1353</v>
      </c>
      <c r="E36" s="214">
        <v>2.67</v>
      </c>
      <c r="F36" s="172">
        <f>+UTAMA!G43</f>
        <v>239.7</v>
      </c>
      <c r="G36" s="174">
        <f>+UTAMA!I43</f>
        <v>236.71</v>
      </c>
      <c r="H36" s="173">
        <f>+UTAMA!H43</f>
        <v>2.8559999999999999</v>
      </c>
      <c r="I36" s="173">
        <f>+UTAMA!J43</f>
        <v>1.2629999999999999</v>
      </c>
      <c r="J36" s="243">
        <f t="shared" si="0"/>
        <v>44.22268907563025</v>
      </c>
    </row>
    <row r="37" spans="2:13" ht="15.75" x14ac:dyDescent="0.25">
      <c r="B37" s="210">
        <f t="shared" si="1"/>
        <v>29</v>
      </c>
      <c r="C37" s="212" t="s">
        <v>62</v>
      </c>
      <c r="D37" s="213">
        <v>782</v>
      </c>
      <c r="E37" s="214">
        <v>3.67</v>
      </c>
      <c r="F37" s="172">
        <f>+UTAMA!G44</f>
        <v>118.75</v>
      </c>
      <c r="G37" s="174">
        <f>+UTAMA!I44</f>
        <v>120.75</v>
      </c>
      <c r="H37" s="173">
        <f>+UTAMA!H44</f>
        <v>0.83</v>
      </c>
      <c r="I37" s="173">
        <f>+UTAMA!J44</f>
        <v>4.1539999999999999</v>
      </c>
      <c r="J37" s="243">
        <f t="shared" si="0"/>
        <v>500.48192771084337</v>
      </c>
    </row>
    <row r="38" spans="2:13" ht="15.75" x14ac:dyDescent="0.25">
      <c r="B38" s="210">
        <f t="shared" si="1"/>
        <v>30</v>
      </c>
      <c r="C38" s="212" t="s">
        <v>63</v>
      </c>
      <c r="D38" s="213">
        <v>43</v>
      </c>
      <c r="E38" s="214">
        <v>2.75</v>
      </c>
      <c r="F38" s="172">
        <f>+UTAMA!G45</f>
        <v>109.6</v>
      </c>
      <c r="G38" s="174">
        <f>+UTAMA!I45</f>
        <v>109.62</v>
      </c>
      <c r="H38" s="173">
        <f>+UTAMA!H45</f>
        <v>1.393</v>
      </c>
      <c r="I38" s="173">
        <f>+UTAMA!J45</f>
        <v>1.41</v>
      </c>
      <c r="J38" s="243">
        <f t="shared" si="0"/>
        <v>101.22038765254845</v>
      </c>
    </row>
    <row r="39" spans="2:13" ht="15.75" x14ac:dyDescent="0.25">
      <c r="B39" s="210">
        <f t="shared" si="1"/>
        <v>31</v>
      </c>
      <c r="C39" s="212" t="s">
        <v>231</v>
      </c>
      <c r="D39" s="213">
        <v>0</v>
      </c>
      <c r="E39" s="214">
        <v>0.47</v>
      </c>
      <c r="F39" s="172">
        <f>+UTAMA!G50</f>
        <v>38.549999999999997</v>
      </c>
      <c r="G39" s="174">
        <f>+UTAMA!I50</f>
        <v>35.24</v>
      </c>
      <c r="H39" s="173">
        <f>+UTAMA!H50</f>
        <v>0.34</v>
      </c>
      <c r="I39" s="173">
        <f>UTAMA!J50</f>
        <v>0.14299999999999999</v>
      </c>
      <c r="J39" s="243">
        <f t="shared" si="0"/>
        <v>42.058823529411761</v>
      </c>
    </row>
    <row r="40" spans="2:13" ht="15.75" x14ac:dyDescent="0.25">
      <c r="B40" s="210">
        <f t="shared" si="1"/>
        <v>32</v>
      </c>
      <c r="C40" s="212" t="s">
        <v>232</v>
      </c>
      <c r="D40" s="213">
        <v>0</v>
      </c>
      <c r="E40" s="214">
        <v>0.82</v>
      </c>
      <c r="F40" s="172">
        <f>+UTAMA!G51</f>
        <v>69.900000000000006</v>
      </c>
      <c r="G40" s="174">
        <f>+UTAMA!I51</f>
        <v>70.05</v>
      </c>
      <c r="H40" s="173">
        <f>+UTAMA!H51</f>
        <v>0.8</v>
      </c>
      <c r="I40" s="173">
        <f>UTAMA!J51</f>
        <v>0.752</v>
      </c>
      <c r="J40" s="547">
        <f>IFERROR(+I40/H40*100%*100,0)</f>
        <v>94</v>
      </c>
    </row>
    <row r="41" spans="2:13" ht="16.5" thickBot="1" x14ac:dyDescent="0.3">
      <c r="B41" s="637"/>
      <c r="C41" s="638" t="s">
        <v>91</v>
      </c>
      <c r="D41" s="639">
        <f>SUM(D9:D38)</f>
        <v>64121</v>
      </c>
      <c r="E41" s="667">
        <f>SUM(E9:E40)</f>
        <v>79.821999999999989</v>
      </c>
      <c r="F41" s="640"/>
      <c r="G41" s="640"/>
      <c r="H41" s="641">
        <f>SUM(H9:H40)</f>
        <v>41.659000000000013</v>
      </c>
      <c r="I41" s="642">
        <f>SUM(I9:I40)</f>
        <v>35.938000000000009</v>
      </c>
      <c r="J41" s="643">
        <f>+I41/H41*100%*100</f>
        <v>86.267073141458027</v>
      </c>
    </row>
    <row r="42" spans="2:13" ht="16.5" thickBot="1" x14ac:dyDescent="0.3">
      <c r="B42" s="644" t="s">
        <v>68</v>
      </c>
      <c r="C42" s="645" t="s">
        <v>69</v>
      </c>
      <c r="D42" s="645"/>
      <c r="E42" s="646"/>
      <c r="F42" s="647"/>
      <c r="G42" s="647"/>
      <c r="H42" s="648" t="s">
        <v>97</v>
      </c>
      <c r="I42" s="649">
        <f>+I41/H41*100%</f>
        <v>0.86267073141458028</v>
      </c>
      <c r="J42" s="650"/>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12</v>
      </c>
    </row>
    <row r="46" spans="2:13" ht="15" x14ac:dyDescent="0.25">
      <c r="C46" s="205" t="s">
        <v>102</v>
      </c>
      <c r="D46" s="205"/>
      <c r="E46" s="194" t="s">
        <v>100</v>
      </c>
      <c r="F46" s="205" t="s">
        <v>103</v>
      </c>
      <c r="G46" s="205"/>
      <c r="H46" s="205"/>
      <c r="I46" s="312" t="s">
        <v>191</v>
      </c>
      <c r="J46" s="339">
        <f>COUNTIFS(J9:J40,"&gt;=85",J9:J40,"&lt;=100")</f>
        <v>3</v>
      </c>
    </row>
    <row r="47" spans="2:13" ht="15" x14ac:dyDescent="0.25">
      <c r="C47" s="205" t="s">
        <v>104</v>
      </c>
      <c r="D47" s="205"/>
      <c r="E47" s="194" t="s">
        <v>100</v>
      </c>
      <c r="F47" s="205" t="s">
        <v>105</v>
      </c>
      <c r="G47" s="205"/>
      <c r="H47" s="205"/>
      <c r="I47" s="312" t="s">
        <v>191</v>
      </c>
      <c r="J47" s="340">
        <f>COUNTIFS(J9:J40,"&gt;0",J9:J40,"&lt;=85")</f>
        <v>17</v>
      </c>
    </row>
    <row r="48" spans="2:13" ht="15.75" thickBot="1" x14ac:dyDescent="0.3">
      <c r="C48" s="207">
        <v>0</v>
      </c>
      <c r="D48" s="207"/>
      <c r="E48" s="194" t="s">
        <v>100</v>
      </c>
      <c r="F48" s="205" t="s">
        <v>129</v>
      </c>
      <c r="G48" s="205"/>
      <c r="H48" s="205"/>
      <c r="I48" s="312" t="s">
        <v>191</v>
      </c>
      <c r="J48" s="341">
        <f>COUNTIF(J9:J40,"0")</f>
        <v>0</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AL22" sqref="AL22"/>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77" t="s">
        <v>175</v>
      </c>
      <c r="B1" s="878"/>
      <c r="C1" s="878"/>
      <c r="D1" s="878"/>
      <c r="E1" s="878"/>
      <c r="F1" s="878"/>
      <c r="G1" s="878"/>
      <c r="H1" s="878"/>
      <c r="I1" s="878"/>
      <c r="J1" s="878"/>
      <c r="K1" s="878"/>
      <c r="L1" s="878"/>
      <c r="M1" s="878"/>
      <c r="N1" s="878"/>
      <c r="O1" s="878"/>
      <c r="P1" s="878"/>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79" t="s">
        <v>311</v>
      </c>
      <c r="B2" s="880"/>
      <c r="C2" s="880"/>
      <c r="D2" s="880"/>
      <c r="E2" s="880"/>
      <c r="F2" s="880"/>
      <c r="G2" s="880"/>
      <c r="H2" s="880"/>
      <c r="I2" s="880"/>
      <c r="J2" s="880"/>
      <c r="K2" s="880"/>
      <c r="L2" s="880"/>
      <c r="M2" s="880"/>
      <c r="N2" s="880"/>
      <c r="O2" s="880"/>
      <c r="P2" s="880"/>
      <c r="Q2" s="384"/>
      <c r="R2" s="443">
        <v>1</v>
      </c>
      <c r="S2" s="307" t="str">
        <f>IF('RINCI 1'!J9=0,"Kosong",IF('RINCI 1'!J9&lt;85,"Di Bawah Rencana",IF('RINCI 1'!J9&gt;100,"Di Atas Rencana","Sesuai Rencana")))</f>
        <v>Sesuai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Di Bawah Rencana</v>
      </c>
      <c r="AB2" s="307" t="s">
        <v>29</v>
      </c>
      <c r="AC2" s="307"/>
      <c r="AD2" s="380" t="s">
        <v>181</v>
      </c>
      <c r="AE2" s="307" t="str">
        <f t="array" ref="AE2">IF(ISERROR(INDEX($AA$1:$AB$33,SMALL(IF($AA$1:$AA$33=$AE$1,ROW($AA$1:$AA$33)),ROW(1:1)),2)),"",INDEX($AA$1:$AB$33,SMALL(IF($AA$1:$AA$33=$AE$1,ROW($AA$1:$AA$33)),ROW(1:1)),2))</f>
        <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Bawah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Bawah Rencana</v>
      </c>
      <c r="T4" s="307" t="s">
        <v>31</v>
      </c>
      <c r="U4" s="307"/>
      <c r="V4" s="380" t="s">
        <v>179</v>
      </c>
      <c r="W4" s="380" t="s">
        <v>182</v>
      </c>
      <c r="X4" s="380"/>
      <c r="Y4" s="307"/>
      <c r="Z4" s="444">
        <v>3</v>
      </c>
      <c r="AA4" s="307" t="str">
        <f>IF('RINCI 2'!J11=0,"Kosong",IF('RINCI 2'!J11&lt;85,"Di Bawah Rencana",IF('RINCI 2'!J11&gt;100,"Di Atas Rencana","Sesuai Rencana")))</f>
        <v>Di Bawah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Rawapening</v>
      </c>
      <c r="X5" s="307"/>
      <c r="Y5" s="307"/>
      <c r="Z5" s="444">
        <v>4</v>
      </c>
      <c r="AA5" s="307" t="str">
        <f>IF('RINCI 2'!J12=0,"Kosong",IF('RINCI 2'!J12&lt;85,"Di Bawah Rencana",IF('RINCI 2'!J12&gt;100,"Di Atas Rencana","Sesuai Rencana")))</f>
        <v>Di Bawah Rencana</v>
      </c>
      <c r="AB5" s="307" t="s">
        <v>35</v>
      </c>
      <c r="AC5" s="307"/>
      <c r="AD5" s="380" t="s">
        <v>181</v>
      </c>
      <c r="AE5" s="307" t="str">
        <f t="array" ref="AE5">IF(ISERROR(INDEX($AA$1:$AB$33,SMALL(IF($AA$1:$AA$33=$AE$4,ROW($AA$1:$AA$33)),ROW(1:1)),2)),"",INDEX($AA$1:$AB$33,SMALL(IF($AA$1:$AA$33=$AE$4,ROW($AA$1:$AA$33)),ROW(1:1)),2))</f>
        <v>Penjalin</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Bawah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Sesuai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Bawah Rencana</v>
      </c>
      <c r="T8" s="307" t="s">
        <v>65</v>
      </c>
      <c r="U8" s="307"/>
      <c r="V8" s="380" t="s">
        <v>181</v>
      </c>
      <c r="W8" s="307" t="str">
        <f t="array" ref="W8">IF(ISERROR(INDEX($S$1:$T$10,SMALL(IF($S$1:$S$10=$W$7,ROW($S$1:$S$10)),ROW(1:1)),2)),"",INDEX($S$1:$T$10,SMALL(IF($S$1:$S$10=$W$7,ROW($S$1:$S$10)),ROW(1:1)),2))</f>
        <v>Malahayu</v>
      </c>
      <c r="X8" s="307"/>
      <c r="Y8" s="307"/>
      <c r="Z8" s="444">
        <v>7</v>
      </c>
      <c r="AA8" s="307" t="str">
        <f>IF('RINCI 2'!J15=0,"Kosong",IF('RINCI 2'!J15&lt;85,"Di Bawah Rencana",IF('RINCI 2'!J15&gt;100,"Di Atas Rencana","Sesuai Rencana")))</f>
        <v>Di Bawah Rencana</v>
      </c>
      <c r="AB8" s="307" t="s">
        <v>39</v>
      </c>
      <c r="AC8" s="307"/>
      <c r="AD8" s="380" t="s">
        <v>181</v>
      </c>
      <c r="AE8" s="307" t="str">
        <f t="array" ref="AE8">IF(ISERROR(INDEX($AA$1:$AB$33,SMALL(IF($AA$1:$AA$33=$AE$7,ROW($AA$1:$AA$33)),ROW(1:1)),2)),"",INDEX($AA$1:$AB$33,SMALL(IF($AA$1:$AA$33=$AE$7,ROW($AA$1:$AA$33)),ROW(1:1)),2))</f>
        <v>Ngancar</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Di Bawah Rencana</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Cacaban</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Sanggeh</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Bawah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Bawah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Bawah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Sesuai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0</v>
      </c>
      <c r="B24" s="310" t="s">
        <v>162</v>
      </c>
      <c r="C24" s="310"/>
      <c r="D24" s="307"/>
      <c r="E24" s="309">
        <f>'RINCI 2'!J47+'RINCI 1'!J24</f>
        <v>21</v>
      </c>
      <c r="F24" s="310" t="s">
        <v>165</v>
      </c>
      <c r="G24" s="310"/>
      <c r="H24" s="307"/>
      <c r="I24" s="309">
        <f>'RINCI 2'!J46+'RINCI 1'!J23</f>
        <v>5</v>
      </c>
      <c r="J24" s="310" t="s">
        <v>166</v>
      </c>
      <c r="K24" s="307"/>
      <c r="L24" s="307"/>
      <c r="M24" s="309">
        <f>'RINCI 1'!J22+'RINCI 2'!J45</f>
        <v>15</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4</v>
      </c>
      <c r="F25" s="310" t="s">
        <v>163</v>
      </c>
      <c r="G25" s="310"/>
      <c r="H25" s="307"/>
      <c r="I25" s="309">
        <f>'RINCI 1'!J23</f>
        <v>2</v>
      </c>
      <c r="J25" s="310" t="s">
        <v>163</v>
      </c>
      <c r="K25" s="307"/>
      <c r="L25" s="307"/>
      <c r="M25" s="309">
        <f>'RINCI 1'!J22</f>
        <v>3</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Bawah Rencana</v>
      </c>
      <c r="AB25" s="307" t="s">
        <v>57</v>
      </c>
      <c r="AC25" s="307"/>
      <c r="AD25" s="307"/>
      <c r="AE25" s="307"/>
      <c r="AF25" s="307"/>
      <c r="AG25" s="307"/>
      <c r="AH25" s="381"/>
    </row>
    <row r="26" spans="1:34" x14ac:dyDescent="0.2">
      <c r="A26" s="385">
        <f>'RINCI 2'!J48</f>
        <v>0</v>
      </c>
      <c r="B26" s="310" t="s">
        <v>164</v>
      </c>
      <c r="C26" s="310"/>
      <c r="D26" s="307"/>
      <c r="E26" s="385">
        <f>'RINCI 2'!J47</f>
        <v>17</v>
      </c>
      <c r="F26" s="310" t="s">
        <v>164</v>
      </c>
      <c r="G26" s="310"/>
      <c r="H26" s="307"/>
      <c r="I26" s="385">
        <f>'RINCI 2'!J46</f>
        <v>3</v>
      </c>
      <c r="J26" s="310" t="s">
        <v>164</v>
      </c>
      <c r="K26" s="307"/>
      <c r="L26" s="307"/>
      <c r="M26" s="309">
        <f>'RINCI 2'!J45</f>
        <v>12</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Sesuai Rencana</v>
      </c>
      <c r="AB28" s="307" t="s">
        <v>60</v>
      </c>
      <c r="AC28" s="307"/>
      <c r="AD28" s="307"/>
      <c r="AE28" s="307"/>
      <c r="AF28" s="307"/>
      <c r="AG28" s="307"/>
      <c r="AH28" s="381"/>
    </row>
    <row r="29" spans="1:34" x14ac:dyDescent="0.2">
      <c r="A29" s="876" t="s">
        <v>186</v>
      </c>
      <c r="B29" s="875"/>
      <c r="C29" s="875"/>
      <c r="D29" s="875"/>
      <c r="E29" s="875" t="s">
        <v>187</v>
      </c>
      <c r="F29" s="875"/>
      <c r="G29" s="875"/>
      <c r="H29" s="875"/>
      <c r="I29" s="875" t="s">
        <v>188</v>
      </c>
      <c r="J29" s="875"/>
      <c r="K29" s="875"/>
      <c r="L29" s="875"/>
      <c r="M29" s="875" t="s">
        <v>209</v>
      </c>
      <c r="N29" s="875"/>
      <c r="O29" s="875"/>
      <c r="P29" s="875"/>
      <c r="Q29" s="384"/>
      <c r="R29" s="307"/>
      <c r="S29" s="307"/>
      <c r="T29" s="307"/>
      <c r="U29" s="307"/>
      <c r="V29" s="307"/>
      <c r="W29" s="307"/>
      <c r="X29" s="307"/>
      <c r="Y29" s="307"/>
      <c r="Z29" s="444">
        <v>28</v>
      </c>
      <c r="AA29" s="307" t="str">
        <f>IF('RINCI 2'!J36=0,"Kosong",IF('RINCI 2'!J36&lt;85,"Di Bawah Rencana",IF('RINCI 2'!J36&gt;100,"Di Atas Rencana","Sesuai Rencana")))</f>
        <v>Di Bawah Rencana</v>
      </c>
      <c r="AB29" s="307" t="s">
        <v>61</v>
      </c>
      <c r="AC29" s="307"/>
      <c r="AD29" s="307"/>
      <c r="AE29" s="307"/>
      <c r="AF29" s="307"/>
      <c r="AG29" s="307"/>
      <c r="AH29" s="381"/>
    </row>
    <row r="30" spans="1:34" x14ac:dyDescent="0.2">
      <c r="A30" s="876" t="s">
        <v>189</v>
      </c>
      <c r="B30" s="875"/>
      <c r="C30" s="875" t="s">
        <v>190</v>
      </c>
      <c r="D30" s="875"/>
      <c r="E30" s="875" t="s">
        <v>189</v>
      </c>
      <c r="F30" s="875"/>
      <c r="G30" s="875" t="s">
        <v>190</v>
      </c>
      <c r="H30" s="875"/>
      <c r="I30" s="875" t="s">
        <v>189</v>
      </c>
      <c r="J30" s="875"/>
      <c r="K30" s="875" t="s">
        <v>190</v>
      </c>
      <c r="L30" s="875"/>
      <c r="M30" s="875" t="s">
        <v>189</v>
      </c>
      <c r="N30" s="875"/>
      <c r="O30" s="875" t="s">
        <v>190</v>
      </c>
      <c r="P30" s="875"/>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
      </c>
      <c r="D31" s="311"/>
      <c r="E31" s="307" t="str">
        <f t="array" ref="E31">IF(ISERROR(INDEX($S$1:$T$10,SMALL(IF($S$1:$S$10=$W$4,ROW($S$1:$S$10)),ROW(1:1)),2)),"",INDEX($S$1:$T$10,SMALL(IF($S$1:$S$10=$W$4,ROW($S$1:$S$10)),ROW(1:1)),2))</f>
        <v>Rawapening</v>
      </c>
      <c r="F31" s="307"/>
      <c r="G31" s="307" t="str">
        <f t="array" ref="G31">IF(ISERROR(INDEX($AA$1:$AB$33,SMALL(IF($AA$1:$AA$33=$AE$4,ROW($AA$1:$AA$33)),ROW(1:1)),2)),"",INDEX($AA$1:$AB$33,SMALL(IF($AA$1:$AA$33=$AE$4,ROW($AA$1:$AA$33)),ROW(1:1)),2))</f>
        <v>Penjalin</v>
      </c>
      <c r="H31" s="307"/>
      <c r="I31" s="307" t="str">
        <f t="array" ref="I31">IF(ISERROR(INDEX($S$1:$T$10,SMALL(IF($S$1:$S$10=$W$7,ROW($S$1:$S$10)),ROW(1:1)),2)),"",INDEX($S$1:$T$10,SMALL(IF($S$1:$S$10=$W$7,ROW($S$1:$S$10)),ROW(1:1)),2))</f>
        <v>Malahayu</v>
      </c>
      <c r="J31" s="307"/>
      <c r="K31" s="307" t="str">
        <f t="array" ref="K31">IF(ISERROR(INDEX($AA$1:$AB$33,SMALL(IF($AA$1:$AA$33=$AE$7,ROW($AA$1:$AA$33)),ROW(1:1)),2)),"",INDEX($AA$1:$AB$33,SMALL(IF($AA$1:$AA$33=$AE$7,ROW($AA$1:$AA$33)),ROW(1:1)),2))</f>
        <v>Ngancar</v>
      </c>
      <c r="L31" s="307"/>
      <c r="M31" s="380" t="str">
        <f t="array" ref="M31">IF(ISERROR(INDEX($S$1:$T$10,SMALL(IF($S$1:$S$10=$W$10,ROW($S$1:$S$10)),ROW(1:1)),2)),"",INDEX($S$1:$T$10,SMALL(IF($S$1:$S$10=$W$10,ROW($S$1:$S$10)),ROW(1:1)),2))</f>
        <v>Cacaban</v>
      </c>
      <c r="N31" s="307"/>
      <c r="O31" s="307" t="str">
        <f t="array" ref="O31">IF(ISERROR(INDEX($AA$1:$AB$33,SMALL(IF($AA$1:$AA$33=$AE$10,ROW($AA$1:$AA$33)),ROW(1:1)),2)),"",INDEX($AA$1:$AB$33,SMALL(IF($AA$1:$AA$33=$AE$10,ROW($AA$1:$AA$33)),ROW(1:1)),2))</f>
        <v>Sanggeh</v>
      </c>
      <c r="P31" s="307"/>
      <c r="Q31" s="384"/>
      <c r="R31" s="307"/>
      <c r="S31" s="307"/>
      <c r="T31" s="307"/>
      <c r="U31" s="307"/>
      <c r="V31" s="307"/>
      <c r="W31" s="307"/>
      <c r="X31" s="307"/>
      <c r="Y31" s="307"/>
      <c r="Z31" s="444">
        <v>30</v>
      </c>
      <c r="AA31" s="307" t="str">
        <f>IF('RINCI 2'!J38=0,"Kosong",IF('RINCI 2'!J38&lt;85,"Di Bawah Rencana",IF('RINCI 2'!J38&gt;100,"Di Atas Rencana","Sesuai Rencana")))</f>
        <v>Di Atas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Kedungombo</v>
      </c>
      <c r="F32" s="307"/>
      <c r="G32" s="307" t="str">
        <f t="array" ref="G32">IF(ISERROR(INDEX($AA$1:$AB$33,SMALL(IF($AA$1:$AA$33=$AE$4,ROW($AA$1:$AA$33)),ROW(2:2)),2)),"",INDEX($AA$1:$AB$33,SMALL(IF($AA$1:$AA$33=$AE$4,ROW($AA$1:$AA$33)),ROW(2:2)),2))</f>
        <v>Gembong</v>
      </c>
      <c r="H32" s="307"/>
      <c r="I32" s="307" t="str">
        <f t="array" ref="I32">IF(ISERROR(INDEX($S$1:$T$10,SMALL(IF($S$1:$S$10=$W$7,ROW($S$1:$S$10)),ROW(2:2)),2)),"",INDEX($S$1:$T$10,SMALL(IF($S$1:$S$10=$W$7,ROW($S$1:$S$10)),ROW(2:2)),2))</f>
        <v>Sempor</v>
      </c>
      <c r="J32" s="307"/>
      <c r="K32" s="307" t="str">
        <f t="array" ref="K32">IF(ISERROR(INDEX($AA$1:$AB$33,SMALL(IF($AA$1:$AA$33=$AE$7,ROW($AA$1:$AA$33)),ROW(2:2)),2)),"",INDEX($AA$1:$AB$33,SMALL(IF($AA$1:$AA$33=$AE$7,ROW($AA$1:$AA$33)),ROW(2:2)),2))</f>
        <v>Cengklik</v>
      </c>
      <c r="L32" s="307"/>
      <c r="M32" s="380" t="str">
        <f t="array" ref="M32">IF(ISERROR(INDEX($S$1:$T$10,SMALL(IF($S$1:$S$10=$W$10,ROW($S$1:$S$10)),ROW(2:2)),2)),"",INDEX($S$1:$T$10,SMALL(IF($S$1:$S$10=$W$10,ROW($S$1:$S$10)),ROW(2:2)),2))</f>
        <v>Sudirman</v>
      </c>
      <c r="N32" s="307"/>
      <c r="O32" s="307" t="str">
        <f t="array" ref="O32">IF(ISERROR(INDEX($AA$1:$AB$33,SMALL(IF($AA$1:$AA$33=$AE$10,ROW($AA$1:$AA$33)),ROW(2:2)),2)),"",INDEX($AA$1:$AB$33,SMALL(IF($AA$1:$AA$33=$AE$10,ROW($AA$1:$AA$33)),ROW(2:2)),2))</f>
        <v>Krisak</v>
      </c>
      <c r="P32" s="307"/>
      <c r="Q32" s="384"/>
      <c r="R32" s="307"/>
      <c r="S32" s="307"/>
      <c r="T32" s="307"/>
      <c r="U32" s="307"/>
      <c r="V32" s="307"/>
      <c r="W32" s="307"/>
      <c r="X32" s="307"/>
      <c r="Y32" s="307"/>
      <c r="Z32" s="444">
        <v>31</v>
      </c>
      <c r="AA32" s="307" t="str">
        <f>IF('RINCI 2'!J39=0,"Kosong",IF('RINCI 2'!J39&lt;85,"Di Bawah Rencana",IF('RINCI 2'!J39&gt;100,"Di Atas Rencana","Sesuai Rencana")))</f>
        <v>Di Bawah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Wonogiri</v>
      </c>
      <c r="F33" s="307"/>
      <c r="G33" s="307" t="str">
        <f t="array" ref="G33">IF(ISERROR(INDEX($AA$1:$AB$33,SMALL(IF($AA$1:$AA$33=$AE$4,ROW($AA$1:$AA$33)),ROW(3:3)),2)),"",INDEX($AA$1:$AB$33,SMALL(IF($AA$1:$AA$33=$AE$4,ROW($AA$1:$AA$33)),ROW(3:3)),2))</f>
        <v>Gunungrowo</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Panohan</v>
      </c>
      <c r="L33" s="307"/>
      <c r="M33" s="380" t="str">
        <f t="array" ref="M33">IF(ISERROR(INDEX($S$1:$T$10,SMALL(IF($S$1:$S$10=$W$10,ROW($S$1:$S$10)),ROW(3:3)),2)),"",INDEX($S$1:$T$10,SMALL(IF($S$1:$S$10=$W$10,ROW($S$1:$S$10)),ROW(3:3)),2))</f>
        <v>Jatibarang</v>
      </c>
      <c r="N33" s="307"/>
      <c r="O33" s="307" t="str">
        <f t="array" ref="O33">IF(ISERROR(INDEX($AA$1:$AB$33,SMALL(IF($AA$1:$AA$33=$AE$10,ROW($AA$1:$AA$33)),ROW(3:3)),2)),"",INDEX($AA$1:$AB$33,SMALL(IF($AA$1:$AA$33=$AE$10,ROW($AA$1:$AA$33)),ROW(3:3)),2))</f>
        <v>Parangjoho</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Wadaslintang</v>
      </c>
      <c r="F34" s="307"/>
      <c r="G34" s="307" t="str">
        <f t="array" ref="G34">IF(ISERROR(INDEX($AA$1:$AB$33,SMALL(IF($AA$1:$AA$33=$AE$4,ROW($AA$1:$AA$33)),ROW(4:4)),2)),"",INDEX($AA$1:$AB$33,SMALL(IF($AA$1:$AA$33=$AE$4,ROW($AA$1:$AA$33)),ROW(4:4)),2))</f>
        <v>Tempuran</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
      </c>
      <c r="L34" s="307"/>
      <c r="M34" s="380" t="str">
        <f t="array" ref="M34">IF(ISERROR(INDEX($S$1:$T$10,SMALL(IF($S$1:$S$10=$W$10,ROW($S$1:$S$10)),ROW(4:4)),2)),"",INDEX($S$1:$T$10,SMALL(IF($S$1:$S$10=$W$10,ROW($S$1:$S$10)),ROW(4:4)),2))</f>
        <v/>
      </c>
      <c r="N34" s="307"/>
      <c r="O34" s="307" t="str">
        <f t="array" ref="O34">IF(ISERROR(INDEX($AA$1:$AB$33,SMALL(IF($AA$1:$AA$33=$AE$10,ROW($AA$1:$AA$33)),ROW(4:4)),2)),"",INDEX($AA$1:$AB$33,SMALL(IF($AA$1:$AA$33=$AE$10,ROW($AA$1:$AA$33)),ROW(4:4)),2))</f>
        <v>Lalung</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Greneng</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
      </c>
      <c r="N35" s="307"/>
      <c r="O35" s="307" t="str">
        <f t="array" ref="O35">IF(ISERROR(INDEX($AA$1:$AB$33,SMALL(IF($AA$1:$AA$33=$AE$10,ROW($AA$1:$AA$33)),ROW(5:5)),2)),"",INDEX($AA$1:$AB$33,SMALL(IF($AA$1:$AA$33=$AE$10,ROW($AA$1:$AA$33)),ROW(5:5)),2))</f>
        <v>Delingan</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Lodanwetan</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
      </c>
      <c r="N36" s="307"/>
      <c r="O36" s="307" t="str">
        <f t="array" ref="O36">IF(ISERROR(INDEX($AA$1:$AB$33,SMALL(IF($AA$1:$AA$33=$AE$10,ROW($AA$1:$AA$33)),ROW(6:6)),2)),"",INDEX($AA$1:$AB$33,SMALL(IF($AA$1:$AA$33=$AE$10,ROW($AA$1:$AA$33)),ROW(6:6)),2))</f>
        <v>Gebyar</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Banyukuwung</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Kembangan</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Nglangon</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Botok</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Simo</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Blimbing</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Butak</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Brambang</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Plumbon</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Jombor</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Songputri</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Mulur</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Kedunguling</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Nawangan</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Ketro</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Klego</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Grawan</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49"/>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0" workbookViewId="0">
      <selection activeCell="N36" sqref="N36"/>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81" t="s">
        <v>208</v>
      </c>
      <c r="C12" s="882"/>
      <c r="D12" s="882"/>
      <c r="E12" s="882"/>
      <c r="F12" s="882"/>
      <c r="G12" s="882"/>
      <c r="H12" s="882"/>
      <c r="I12" s="882"/>
      <c r="J12" s="883"/>
    </row>
    <row r="13" spans="2:10" ht="26.25" x14ac:dyDescent="0.4">
      <c r="B13" s="881" t="s">
        <v>193</v>
      </c>
      <c r="C13" s="882"/>
      <c r="D13" s="882"/>
      <c r="E13" s="882"/>
      <c r="F13" s="882"/>
      <c r="G13" s="882"/>
      <c r="H13" s="882"/>
      <c r="I13" s="882"/>
      <c r="J13" s="883"/>
    </row>
    <row r="14" spans="2:10" ht="26.25" x14ac:dyDescent="0.4">
      <c r="B14" s="881" t="s">
        <v>194</v>
      </c>
      <c r="C14" s="882"/>
      <c r="D14" s="882"/>
      <c r="E14" s="882"/>
      <c r="F14" s="882"/>
      <c r="G14" s="882"/>
      <c r="H14" s="882"/>
      <c r="I14" s="882"/>
      <c r="J14" s="883"/>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84" t="s">
        <v>308</v>
      </c>
      <c r="C37" s="885"/>
      <c r="D37" s="885"/>
      <c r="E37" s="885"/>
      <c r="F37" s="885"/>
      <c r="G37" s="885"/>
      <c r="H37" s="885"/>
      <c r="I37" s="885"/>
      <c r="J37" s="886"/>
    </row>
    <row r="38" spans="2:10" x14ac:dyDescent="0.2">
      <c r="B38" s="317"/>
      <c r="C38" s="318"/>
      <c r="D38" s="318"/>
      <c r="E38" s="318"/>
      <c r="F38" s="318"/>
      <c r="G38" s="318"/>
      <c r="H38" s="726"/>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13"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J4" sqref="J4"/>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1" ht="18.75" x14ac:dyDescent="0.3">
      <c r="B2" s="261" t="s">
        <v>71</v>
      </c>
      <c r="C2" s="261"/>
      <c r="D2" s="261"/>
      <c r="E2" s="261"/>
      <c r="F2" s="261"/>
      <c r="G2" s="261"/>
      <c r="H2" s="261"/>
      <c r="I2" s="261"/>
    </row>
    <row r="3" spans="2:11" ht="13.5" thickBot="1" x14ac:dyDescent="0.25"/>
    <row r="4" spans="2:11" ht="15.75" x14ac:dyDescent="0.25">
      <c r="B4" s="153" t="s">
        <v>1</v>
      </c>
      <c r="C4" s="154" t="s">
        <v>130</v>
      </c>
      <c r="D4" s="154" t="s">
        <v>132</v>
      </c>
      <c r="E4" s="154" t="s">
        <v>152</v>
      </c>
      <c r="F4" s="155" t="s">
        <v>156</v>
      </c>
      <c r="G4" s="155" t="s">
        <v>228</v>
      </c>
      <c r="H4" s="155" t="s">
        <v>297</v>
      </c>
      <c r="I4" s="155" t="s">
        <v>298</v>
      </c>
      <c r="J4" s="155" t="s">
        <v>300</v>
      </c>
      <c r="K4" s="758" t="s">
        <v>305</v>
      </c>
    </row>
    <row r="5" spans="2:11"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759"/>
    </row>
    <row r="6" spans="2:11"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759"/>
    </row>
    <row r="7" spans="2:11" ht="15.75" x14ac:dyDescent="0.25">
      <c r="B7" s="74" t="s">
        <v>4</v>
      </c>
      <c r="C7" s="156">
        <v>32.659999999999997</v>
      </c>
      <c r="D7" s="156">
        <v>38.808</v>
      </c>
      <c r="E7" s="75">
        <v>32.228000000000002</v>
      </c>
      <c r="F7" s="149">
        <v>30.716999999999999</v>
      </c>
      <c r="G7" s="149">
        <v>32.805</v>
      </c>
      <c r="H7" s="149">
        <v>31.65</v>
      </c>
      <c r="I7" s="149">
        <v>30.716999999999999</v>
      </c>
      <c r="J7" s="149">
        <v>30.716999999999999</v>
      </c>
      <c r="K7" s="759"/>
    </row>
    <row r="8" spans="2:11" ht="15.75" x14ac:dyDescent="0.25">
      <c r="B8" s="74" t="s">
        <v>5</v>
      </c>
      <c r="C8" s="156">
        <v>36.353999999999999</v>
      </c>
      <c r="D8" s="156">
        <v>38.808</v>
      </c>
      <c r="E8" s="75">
        <v>32.805</v>
      </c>
      <c r="F8" s="149">
        <v>29.25</v>
      </c>
      <c r="G8" s="149">
        <v>32.011000000000003</v>
      </c>
      <c r="H8" s="149">
        <v>31</v>
      </c>
      <c r="I8" s="149">
        <v>31.433</v>
      </c>
      <c r="J8" s="149">
        <v>32.732999999999997</v>
      </c>
      <c r="K8" s="759"/>
    </row>
    <row r="9" spans="2:11" ht="15.75" x14ac:dyDescent="0.25">
      <c r="B9" s="74" t="s">
        <v>6</v>
      </c>
      <c r="C9" s="156">
        <v>37.466000000000001</v>
      </c>
      <c r="D9" s="156">
        <v>38.311</v>
      </c>
      <c r="E9" s="75">
        <v>32.732999999999997</v>
      </c>
      <c r="F9" s="149">
        <v>28.404</v>
      </c>
      <c r="G9" s="149">
        <v>31</v>
      </c>
      <c r="H9" s="149">
        <v>22.085000000000001</v>
      </c>
      <c r="I9" s="149">
        <v>25.204999999999998</v>
      </c>
      <c r="J9" s="149">
        <v>21.251999999999999</v>
      </c>
      <c r="K9" s="759"/>
    </row>
    <row r="10" spans="2:11" ht="15.75" x14ac:dyDescent="0.25">
      <c r="B10" s="74" t="s">
        <v>7</v>
      </c>
      <c r="C10" s="156">
        <v>27.829000000000001</v>
      </c>
      <c r="D10" s="156">
        <v>31.65</v>
      </c>
      <c r="E10" s="75">
        <v>29.475999999999999</v>
      </c>
      <c r="F10" s="149">
        <v>19</v>
      </c>
      <c r="G10" s="149">
        <v>30.04</v>
      </c>
      <c r="H10" s="149">
        <v>19.18</v>
      </c>
      <c r="I10" s="149">
        <v>19.666</v>
      </c>
      <c r="J10" s="149">
        <v>25.044</v>
      </c>
      <c r="K10" s="759"/>
    </row>
    <row r="11" spans="2:11"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759"/>
    </row>
    <row r="12" spans="2:11"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759"/>
    </row>
    <row r="13" spans="2:11"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759"/>
    </row>
    <row r="14" spans="2:11"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759"/>
    </row>
    <row r="15" spans="2:11"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759"/>
    </row>
    <row r="16" spans="2:11"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760"/>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workbookViewId="0">
      <selection activeCell="D11" sqref="D11"/>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87" t="s">
        <v>296</v>
      </c>
      <c r="C1" s="887"/>
      <c r="D1" s="887"/>
      <c r="E1" s="887"/>
      <c r="F1" s="887"/>
      <c r="G1" s="887"/>
      <c r="H1" s="887"/>
      <c r="I1" s="887"/>
      <c r="J1" s="887"/>
      <c r="K1" s="887"/>
      <c r="L1" s="887"/>
      <c r="M1" s="887"/>
      <c r="N1" s="887"/>
      <c r="O1" s="887"/>
    </row>
    <row r="3" spans="2:15" ht="38.25" customHeight="1" x14ac:dyDescent="0.2">
      <c r="B3" s="575" t="s">
        <v>285</v>
      </c>
      <c r="C3" s="576" t="s">
        <v>294</v>
      </c>
      <c r="D3" s="573" t="s">
        <v>276</v>
      </c>
      <c r="E3" s="573" t="s">
        <v>277</v>
      </c>
      <c r="F3" s="573" t="s">
        <v>278</v>
      </c>
      <c r="G3" s="573" t="s">
        <v>279</v>
      </c>
      <c r="H3" s="573" t="s">
        <v>6</v>
      </c>
      <c r="I3" s="573" t="s">
        <v>280</v>
      </c>
      <c r="J3" s="573" t="s">
        <v>281</v>
      </c>
      <c r="K3" s="573" t="s">
        <v>282</v>
      </c>
      <c r="L3" s="573" t="s">
        <v>274</v>
      </c>
      <c r="M3" s="573" t="s">
        <v>275</v>
      </c>
      <c r="N3" s="573" t="s">
        <v>283</v>
      </c>
      <c r="O3" s="573" t="s">
        <v>284</v>
      </c>
    </row>
    <row r="4" spans="2:15" ht="25.5" customHeight="1" x14ac:dyDescent="0.2">
      <c r="B4" s="573">
        <v>1</v>
      </c>
      <c r="C4" s="578" t="s">
        <v>295</v>
      </c>
      <c r="D4" s="573"/>
      <c r="E4" s="573"/>
      <c r="F4" s="573"/>
      <c r="G4" s="573"/>
      <c r="H4" s="573"/>
      <c r="I4" s="573"/>
      <c r="J4" s="574"/>
      <c r="K4" s="574"/>
      <c r="L4" s="574"/>
      <c r="M4" s="574"/>
      <c r="N4" s="574"/>
      <c r="O4" s="574"/>
    </row>
    <row r="5" spans="2:15" ht="26.25" customHeight="1" x14ac:dyDescent="0.2">
      <c r="B5" s="573">
        <f>B4+1</f>
        <v>2</v>
      </c>
      <c r="C5" s="578" t="s">
        <v>286</v>
      </c>
      <c r="D5" s="573"/>
      <c r="E5" s="573"/>
      <c r="F5" s="573"/>
      <c r="G5" s="573"/>
      <c r="H5" s="573"/>
      <c r="I5" s="573"/>
      <c r="J5" s="574"/>
      <c r="K5" s="574"/>
      <c r="L5" s="574"/>
      <c r="M5" s="574"/>
      <c r="N5" s="574"/>
      <c r="O5" s="574"/>
    </row>
    <row r="6" spans="2:15" ht="24" customHeight="1" x14ac:dyDescent="0.2">
      <c r="B6" s="573">
        <f t="shared" ref="B6:B12" si="0">B5+1</f>
        <v>3</v>
      </c>
      <c r="C6" s="578" t="s">
        <v>287</v>
      </c>
      <c r="D6" s="573"/>
      <c r="E6" s="573"/>
      <c r="F6" s="573"/>
      <c r="G6" s="573"/>
      <c r="H6" s="573"/>
      <c r="I6" s="573"/>
      <c r="J6" s="574"/>
      <c r="K6" s="574"/>
      <c r="L6" s="574"/>
      <c r="M6" s="574"/>
      <c r="N6" s="574"/>
      <c r="O6" s="574"/>
    </row>
    <row r="7" spans="2:15" ht="24" customHeight="1" x14ac:dyDescent="0.2">
      <c r="B7" s="573">
        <f t="shared" si="0"/>
        <v>4</v>
      </c>
      <c r="C7" s="578" t="s">
        <v>288</v>
      </c>
      <c r="D7" s="573"/>
      <c r="E7" s="573"/>
      <c r="F7" s="573"/>
      <c r="G7" s="573"/>
      <c r="H7" s="573"/>
      <c r="I7" s="573"/>
      <c r="J7" s="574"/>
      <c r="K7" s="574"/>
      <c r="L7" s="574"/>
      <c r="M7" s="574"/>
      <c r="N7" s="574"/>
      <c r="O7" s="574"/>
    </row>
    <row r="8" spans="2:15" ht="27" customHeight="1" x14ac:dyDescent="0.2">
      <c r="B8" s="573">
        <f t="shared" si="0"/>
        <v>5</v>
      </c>
      <c r="C8" s="578" t="s">
        <v>289</v>
      </c>
      <c r="D8" s="573"/>
      <c r="E8" s="573"/>
      <c r="F8" s="573"/>
      <c r="G8" s="573"/>
      <c r="H8" s="573"/>
      <c r="I8" s="573"/>
      <c r="J8" s="574"/>
      <c r="K8" s="574"/>
      <c r="L8" s="574"/>
      <c r="M8" s="574"/>
      <c r="N8" s="574"/>
      <c r="O8" s="574"/>
    </row>
    <row r="9" spans="2:15" ht="24" customHeight="1" x14ac:dyDescent="0.2">
      <c r="B9" s="573">
        <f t="shared" si="0"/>
        <v>6</v>
      </c>
      <c r="C9" s="578" t="s">
        <v>290</v>
      </c>
      <c r="D9" s="573"/>
      <c r="E9" s="573"/>
      <c r="F9" s="573"/>
      <c r="G9" s="573"/>
      <c r="H9" s="573"/>
      <c r="I9" s="573"/>
      <c r="J9" s="574"/>
      <c r="K9" s="574"/>
      <c r="L9" s="574"/>
      <c r="M9" s="574"/>
      <c r="N9" s="574"/>
      <c r="O9" s="574"/>
    </row>
    <row r="10" spans="2:15" ht="23.25" customHeight="1" x14ac:dyDescent="0.2">
      <c r="B10" s="573">
        <f t="shared" si="0"/>
        <v>7</v>
      </c>
      <c r="C10" s="579" t="s">
        <v>291</v>
      </c>
      <c r="D10" s="574"/>
      <c r="E10" s="574"/>
      <c r="F10" s="574"/>
      <c r="G10" s="574"/>
      <c r="H10" s="574"/>
      <c r="I10" s="574"/>
      <c r="J10" s="574"/>
      <c r="K10" s="574"/>
      <c r="L10" s="574"/>
      <c r="M10" s="574"/>
      <c r="N10" s="574"/>
      <c r="O10" s="574"/>
    </row>
    <row r="11" spans="2:15" ht="26.25" customHeight="1" x14ac:dyDescent="0.2">
      <c r="B11" s="573">
        <f t="shared" si="0"/>
        <v>8</v>
      </c>
      <c r="C11" s="579" t="s">
        <v>292</v>
      </c>
      <c r="D11" s="574"/>
      <c r="E11" s="574"/>
      <c r="F11" s="574"/>
      <c r="G11" s="574"/>
      <c r="H11" s="574"/>
      <c r="I11" s="574"/>
      <c r="J11" s="574"/>
      <c r="K11" s="574"/>
      <c r="L11" s="574"/>
      <c r="M11" s="574"/>
      <c r="N11" s="574"/>
      <c r="O11" s="574"/>
    </row>
    <row r="12" spans="2:15" ht="24.75" customHeight="1" x14ac:dyDescent="0.2">
      <c r="B12" s="573">
        <f t="shared" si="0"/>
        <v>9</v>
      </c>
      <c r="C12" s="579" t="s">
        <v>293</v>
      </c>
      <c r="D12" s="574"/>
      <c r="E12" s="574"/>
      <c r="F12" s="574"/>
      <c r="G12" s="574"/>
      <c r="H12" s="574"/>
      <c r="I12" s="574"/>
      <c r="J12" s="574"/>
      <c r="K12" s="574"/>
      <c r="L12" s="574"/>
      <c r="M12" s="574"/>
      <c r="N12" s="574"/>
      <c r="O12" s="574"/>
    </row>
    <row r="13" spans="2:15" ht="24" customHeight="1" x14ac:dyDescent="0.2">
      <c r="B13" s="574"/>
      <c r="C13" s="577"/>
      <c r="D13" s="574"/>
      <c r="E13" s="574"/>
      <c r="F13" s="574"/>
      <c r="G13" s="574"/>
      <c r="H13" s="574"/>
      <c r="I13" s="574"/>
      <c r="J13" s="574"/>
      <c r="K13" s="574"/>
      <c r="L13" s="574"/>
      <c r="M13" s="574"/>
      <c r="N13" s="574"/>
      <c r="O13" s="574"/>
    </row>
    <row r="14" spans="2:15" ht="25.5" customHeight="1" x14ac:dyDescent="0.2">
      <c r="B14" s="574"/>
      <c r="C14" s="577"/>
      <c r="D14" s="574"/>
      <c r="E14" s="574"/>
      <c r="F14" s="574"/>
      <c r="G14" s="574"/>
      <c r="H14" s="574"/>
      <c r="I14" s="574"/>
      <c r="J14" s="574"/>
      <c r="K14" s="574"/>
      <c r="L14" s="574"/>
      <c r="M14" s="574"/>
      <c r="N14" s="574"/>
      <c r="O14" s="574"/>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7"/>
  <sheetViews>
    <sheetView workbookViewId="0">
      <selection activeCell="L11" sqref="L11"/>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1" width="15" style="269" customWidth="1"/>
    <col min="12" max="16384" width="9.140625" style="269"/>
  </cols>
  <sheetData>
    <row r="2" spans="2:11" ht="18.75" x14ac:dyDescent="0.3">
      <c r="B2" s="812" t="s">
        <v>0</v>
      </c>
      <c r="C2" s="812"/>
      <c r="D2" s="812"/>
      <c r="E2" s="812"/>
      <c r="F2" s="812"/>
      <c r="G2" s="812"/>
      <c r="H2" s="812"/>
      <c r="I2" s="812"/>
      <c r="J2" s="812"/>
    </row>
    <row r="3" spans="2:11" ht="13.5" thickBot="1" x14ac:dyDescent="0.25"/>
    <row r="4" spans="2:11" ht="18.75" x14ac:dyDescent="0.3">
      <c r="B4" s="435" t="s">
        <v>1</v>
      </c>
      <c r="C4" s="436">
        <v>2012</v>
      </c>
      <c r="D4" s="436">
        <v>2013</v>
      </c>
      <c r="E4" s="436">
        <v>2014</v>
      </c>
      <c r="F4" s="436">
        <v>2015</v>
      </c>
      <c r="G4" s="437">
        <v>2016</v>
      </c>
      <c r="H4" s="148" t="s">
        <v>297</v>
      </c>
      <c r="I4" s="148" t="s">
        <v>298</v>
      </c>
      <c r="J4" s="148" t="s">
        <v>300</v>
      </c>
      <c r="K4" s="761" t="s">
        <v>305</v>
      </c>
    </row>
    <row r="5" spans="2:11" ht="21" customHeight="1" x14ac:dyDescent="0.25">
      <c r="B5" s="438" t="s">
        <v>2</v>
      </c>
      <c r="C5" s="439">
        <v>26.94</v>
      </c>
      <c r="D5" s="439">
        <v>38.625</v>
      </c>
      <c r="E5" s="439">
        <v>19.600000000000001</v>
      </c>
      <c r="F5" s="440">
        <v>21.2</v>
      </c>
      <c r="G5" s="440">
        <v>31.45</v>
      </c>
      <c r="H5" s="149">
        <v>40.674999999999997</v>
      </c>
      <c r="I5" s="149">
        <v>25.704000000000001</v>
      </c>
      <c r="J5" s="149">
        <v>23.539000000000001</v>
      </c>
      <c r="K5" s="759"/>
    </row>
    <row r="6" spans="2:11" ht="21" customHeight="1" x14ac:dyDescent="0.25">
      <c r="B6" s="438" t="s">
        <v>3</v>
      </c>
      <c r="C6" s="439">
        <v>36.78</v>
      </c>
      <c r="D6" s="439">
        <v>37.6</v>
      </c>
      <c r="E6" s="439">
        <v>21.2</v>
      </c>
      <c r="F6" s="440">
        <v>36.774999999999999</v>
      </c>
      <c r="G6" s="440">
        <v>39.65</v>
      </c>
      <c r="H6" s="149">
        <v>45.185000000000002</v>
      </c>
      <c r="I6" s="149">
        <v>43.34</v>
      </c>
      <c r="J6" s="149">
        <v>35.905999999999999</v>
      </c>
      <c r="K6" s="759"/>
    </row>
    <row r="7" spans="2:11" ht="21" customHeight="1" x14ac:dyDescent="0.25">
      <c r="B7" s="438" t="s">
        <v>4</v>
      </c>
      <c r="C7" s="439">
        <v>30.63</v>
      </c>
      <c r="D7" s="439">
        <v>41.7</v>
      </c>
      <c r="E7" s="439">
        <v>32.270000000000003</v>
      </c>
      <c r="F7" s="440">
        <v>35.755000000000003</v>
      </c>
      <c r="G7" s="440">
        <v>37.6</v>
      </c>
      <c r="H7" s="149">
        <v>39.65</v>
      </c>
      <c r="I7" s="149">
        <v>44.57</v>
      </c>
      <c r="J7" s="149">
        <v>37.793999999999997</v>
      </c>
      <c r="K7" s="759"/>
    </row>
    <row r="8" spans="2:11" ht="21" customHeight="1" x14ac:dyDescent="0.25">
      <c r="B8" s="438" t="s">
        <v>5</v>
      </c>
      <c r="C8" s="439">
        <v>36.784999999999997</v>
      </c>
      <c r="D8" s="439">
        <v>46.2</v>
      </c>
      <c r="E8" s="439">
        <v>38.625</v>
      </c>
      <c r="F8" s="440">
        <v>45.8</v>
      </c>
      <c r="G8" s="440">
        <v>41.7</v>
      </c>
      <c r="H8" s="149">
        <v>46.414999999999999</v>
      </c>
      <c r="I8" s="149">
        <v>34.935000000000002</v>
      </c>
      <c r="J8" s="149">
        <v>39.548000000000002</v>
      </c>
      <c r="K8" s="759"/>
    </row>
    <row r="9" spans="2:11" ht="21" customHeight="1" x14ac:dyDescent="0.25">
      <c r="B9" s="438" t="s">
        <v>6</v>
      </c>
      <c r="C9" s="439">
        <v>40.880000000000003</v>
      </c>
      <c r="D9" s="439">
        <v>47.44</v>
      </c>
      <c r="E9" s="439">
        <v>34.935000000000002</v>
      </c>
      <c r="F9" s="440">
        <v>38.83</v>
      </c>
      <c r="G9" s="440">
        <v>31.04</v>
      </c>
      <c r="H9" s="149">
        <v>43.75</v>
      </c>
      <c r="I9" s="149">
        <v>15.2</v>
      </c>
      <c r="J9" s="149">
        <v>32.317999999999998</v>
      </c>
      <c r="K9" s="759"/>
    </row>
    <row r="10" spans="2:11" ht="21" customHeight="1" x14ac:dyDescent="0.25">
      <c r="B10" s="438" t="s">
        <v>7</v>
      </c>
      <c r="C10" s="439">
        <v>26.408000000000001</v>
      </c>
      <c r="D10" s="439">
        <v>43.134</v>
      </c>
      <c r="E10" s="439">
        <v>29.047999999999998</v>
      </c>
      <c r="F10" s="440">
        <v>18</v>
      </c>
      <c r="G10" s="440">
        <v>31.45</v>
      </c>
      <c r="H10" s="149">
        <v>35.96</v>
      </c>
      <c r="I10" s="149">
        <v>19.600000000000001</v>
      </c>
      <c r="J10" s="149">
        <v>21.225000000000001</v>
      </c>
      <c r="K10" s="759"/>
    </row>
    <row r="11" spans="2:11" ht="21" customHeight="1" x14ac:dyDescent="0.25">
      <c r="B11" s="438" t="s">
        <v>8</v>
      </c>
      <c r="C11" s="439">
        <v>19.600000000000001</v>
      </c>
      <c r="D11" s="439">
        <v>29.047999999999998</v>
      </c>
      <c r="E11" s="439">
        <v>27.64</v>
      </c>
      <c r="F11" s="440">
        <v>13.33</v>
      </c>
      <c r="G11" s="440">
        <v>32.68</v>
      </c>
      <c r="H11" s="149">
        <v>26.056000000000001</v>
      </c>
      <c r="I11" s="149">
        <v>14.72</v>
      </c>
      <c r="J11" s="149">
        <v>14.254</v>
      </c>
      <c r="K11" s="759"/>
    </row>
    <row r="12" spans="2:11" ht="21" customHeight="1" x14ac:dyDescent="0.25">
      <c r="B12" s="438" t="s">
        <v>9</v>
      </c>
      <c r="C12" s="439">
        <v>18.64</v>
      </c>
      <c r="D12" s="439">
        <v>19.600000000000001</v>
      </c>
      <c r="E12" s="439">
        <v>18.8</v>
      </c>
      <c r="F12" s="440">
        <v>14</v>
      </c>
      <c r="G12" s="440">
        <v>29.4</v>
      </c>
      <c r="H12" s="149">
        <v>14.96</v>
      </c>
      <c r="I12" s="149">
        <v>10</v>
      </c>
      <c r="J12" s="149">
        <v>13.458</v>
      </c>
      <c r="K12" s="759"/>
    </row>
    <row r="13" spans="2:11" ht="21" customHeight="1" x14ac:dyDescent="0.25">
      <c r="B13" s="438" t="s">
        <v>10</v>
      </c>
      <c r="C13" s="439">
        <v>16.32</v>
      </c>
      <c r="D13" s="439">
        <v>15.48</v>
      </c>
      <c r="E13" s="439">
        <v>13.3</v>
      </c>
      <c r="F13" s="440">
        <v>14</v>
      </c>
      <c r="G13" s="440">
        <v>26.936</v>
      </c>
      <c r="H13" s="149">
        <v>15.62</v>
      </c>
      <c r="I13" s="149">
        <v>10.317</v>
      </c>
      <c r="J13" s="149">
        <v>10.234999999999999</v>
      </c>
      <c r="K13" s="759"/>
    </row>
    <row r="14" spans="2:11" ht="21" customHeight="1" x14ac:dyDescent="0.25">
      <c r="B14" s="438" t="s">
        <v>11</v>
      </c>
      <c r="C14" s="439">
        <v>16.04</v>
      </c>
      <c r="D14" s="439">
        <v>16.04</v>
      </c>
      <c r="E14" s="439">
        <v>10.98</v>
      </c>
      <c r="F14" s="440">
        <v>10.98</v>
      </c>
      <c r="G14" s="440">
        <v>29.224</v>
      </c>
      <c r="H14" s="149">
        <v>14.6</v>
      </c>
      <c r="I14" s="149">
        <v>9.9920000000000009</v>
      </c>
      <c r="J14" s="149">
        <v>7.5650000000000004</v>
      </c>
      <c r="K14" s="759"/>
    </row>
    <row r="15" spans="2:11" ht="21" customHeight="1" x14ac:dyDescent="0.25">
      <c r="B15" s="438" t="s">
        <v>12</v>
      </c>
      <c r="C15" s="439">
        <v>19.440000000000001</v>
      </c>
      <c r="D15" s="439">
        <v>17.3</v>
      </c>
      <c r="E15" s="439">
        <v>14.96</v>
      </c>
      <c r="F15" s="440">
        <v>20.079999999999998</v>
      </c>
      <c r="G15" s="440">
        <v>35.14</v>
      </c>
      <c r="H15" s="149">
        <v>14.25</v>
      </c>
      <c r="I15" s="149">
        <v>15.292</v>
      </c>
      <c r="J15" s="149">
        <v>9.1389999999999993</v>
      </c>
      <c r="K15" s="759"/>
    </row>
    <row r="16" spans="2:11" ht="21" customHeight="1" thickBot="1" x14ac:dyDescent="0.3">
      <c r="B16" s="441" t="s">
        <v>13</v>
      </c>
      <c r="C16" s="278">
        <v>25.527999999999999</v>
      </c>
      <c r="D16" s="278">
        <v>18.8</v>
      </c>
      <c r="E16" s="278">
        <v>16.18</v>
      </c>
      <c r="F16" s="279">
        <v>26.936</v>
      </c>
      <c r="G16" s="279">
        <v>33.090000000000003</v>
      </c>
      <c r="H16" s="150">
        <v>23.05</v>
      </c>
      <c r="I16" s="150">
        <v>14.56</v>
      </c>
      <c r="J16" s="150">
        <v>19.684000000000001</v>
      </c>
      <c r="K16" s="760"/>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H8" sqref="H8"/>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1" width="13.42578125" style="262" customWidth="1"/>
    <col min="12" max="16384" width="9.140625" style="262"/>
  </cols>
  <sheetData>
    <row r="2" spans="2:11" ht="18.75" x14ac:dyDescent="0.3">
      <c r="B2" s="266" t="s">
        <v>171</v>
      </c>
      <c r="C2" s="266"/>
      <c r="D2" s="266"/>
      <c r="E2" s="266"/>
      <c r="F2" s="266"/>
      <c r="G2" s="266"/>
    </row>
    <row r="3" spans="2:11" ht="13.5" thickBot="1" x14ac:dyDescent="0.25"/>
    <row r="4" spans="2:11" ht="18.75" x14ac:dyDescent="0.3">
      <c r="B4" s="146" t="s">
        <v>1</v>
      </c>
      <c r="C4" s="147" t="s">
        <v>130</v>
      </c>
      <c r="D4" s="147" t="s">
        <v>132</v>
      </c>
      <c r="E4" s="147" t="s">
        <v>152</v>
      </c>
      <c r="F4" s="148" t="s">
        <v>156</v>
      </c>
      <c r="G4" s="148" t="s">
        <v>228</v>
      </c>
      <c r="H4" s="148" t="s">
        <v>297</v>
      </c>
      <c r="I4" s="148" t="s">
        <v>298</v>
      </c>
      <c r="J4" s="148" t="s">
        <v>300</v>
      </c>
      <c r="K4" s="761" t="s">
        <v>305</v>
      </c>
    </row>
    <row r="5" spans="2:11" ht="15.75" x14ac:dyDescent="0.25">
      <c r="B5" s="74" t="s">
        <v>2</v>
      </c>
      <c r="C5" s="75">
        <v>28.289000000000001</v>
      </c>
      <c r="D5" s="75">
        <v>43.69</v>
      </c>
      <c r="E5" s="75">
        <v>28.436</v>
      </c>
      <c r="F5" s="149">
        <v>36.58</v>
      </c>
      <c r="G5" s="149">
        <v>25.704000000000001</v>
      </c>
      <c r="H5" s="149">
        <v>50.292000000000002</v>
      </c>
      <c r="I5" s="149">
        <v>14.558999999999999</v>
      </c>
      <c r="J5" s="149">
        <v>21.224</v>
      </c>
      <c r="K5" s="759"/>
    </row>
    <row r="6" spans="2:11"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759"/>
    </row>
    <row r="7" spans="2:11"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759"/>
    </row>
    <row r="8" spans="2:11"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759"/>
    </row>
    <row r="9" spans="2:11" ht="15.75" x14ac:dyDescent="0.25">
      <c r="B9" s="74" t="s">
        <v>6</v>
      </c>
      <c r="C9" s="75">
        <v>40.374000000000002</v>
      </c>
      <c r="D9" s="75">
        <v>42.604999999999997</v>
      </c>
      <c r="E9" s="75">
        <v>46.07</v>
      </c>
      <c r="F9" s="149">
        <v>45.944000000000003</v>
      </c>
      <c r="G9" s="149">
        <v>48.759</v>
      </c>
      <c r="H9" s="149">
        <v>37.186</v>
      </c>
      <c r="I9" s="149">
        <v>39.799999999999997</v>
      </c>
      <c r="J9" s="149">
        <v>37.518999999999998</v>
      </c>
      <c r="K9" s="759"/>
    </row>
    <row r="10" spans="2:11"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759"/>
    </row>
    <row r="11" spans="2:11"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759"/>
    </row>
    <row r="12" spans="2:11"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759"/>
    </row>
    <row r="13" spans="2:11"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759"/>
    </row>
    <row r="14" spans="2:11"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759"/>
    </row>
    <row r="15" spans="2:11"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759"/>
    </row>
    <row r="16" spans="2:11"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760"/>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H11" sqref="H11"/>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13" t="s">
        <v>301</v>
      </c>
      <c r="C2" s="813"/>
      <c r="D2" s="813"/>
      <c r="E2" s="813"/>
      <c r="F2" s="813"/>
      <c r="G2" s="813"/>
      <c r="H2" s="813"/>
      <c r="I2" s="813"/>
      <c r="J2" s="813"/>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61" t="s">
        <v>305</v>
      </c>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759"/>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759"/>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759"/>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759"/>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759"/>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759"/>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759"/>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759"/>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759"/>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759"/>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759"/>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760"/>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5"/>
  <sheetViews>
    <sheetView view="pageBreakPreview" zoomScale="90" zoomScaleSheetLayoutView="90" workbookViewId="0">
      <selection activeCell="L7" sqref="L7"/>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x14ac:dyDescent="0.3">
      <c r="B2" s="812" t="s">
        <v>303</v>
      </c>
      <c r="C2" s="812"/>
      <c r="D2" s="812"/>
      <c r="E2" s="812"/>
      <c r="F2" s="812"/>
      <c r="G2" s="812"/>
      <c r="H2" s="812"/>
      <c r="I2" s="812"/>
      <c r="J2" s="812"/>
      <c r="K2" s="812"/>
      <c r="L2" s="754"/>
      <c r="M2" s="268"/>
      <c r="N2" s="268"/>
      <c r="O2" s="268"/>
      <c r="P2" s="268"/>
      <c r="Q2" s="268"/>
      <c r="R2" s="268"/>
    </row>
    <row r="3" spans="2:18" ht="13.5" thickBot="1" x14ac:dyDescent="0.25"/>
    <row r="4" spans="2:18" ht="27" customHeight="1" x14ac:dyDescent="0.2">
      <c r="B4" s="715" t="s">
        <v>1</v>
      </c>
      <c r="C4" s="716" t="s">
        <v>304</v>
      </c>
      <c r="D4" s="717">
        <v>2012</v>
      </c>
      <c r="E4" s="717">
        <v>2013</v>
      </c>
      <c r="F4" s="717">
        <v>2014</v>
      </c>
      <c r="G4" s="718">
        <v>2015</v>
      </c>
      <c r="H4" s="718">
        <v>2016</v>
      </c>
      <c r="I4" s="718">
        <v>2017</v>
      </c>
      <c r="J4" s="718">
        <v>2018</v>
      </c>
      <c r="K4" s="718">
        <v>2019</v>
      </c>
      <c r="L4" s="755">
        <v>2020</v>
      </c>
      <c r="M4" s="281"/>
      <c r="N4" s="282"/>
      <c r="O4" s="282"/>
      <c r="P4" s="282"/>
      <c r="Q4" s="282"/>
      <c r="R4" s="282"/>
    </row>
    <row r="5" spans="2:18" ht="21" customHeight="1" x14ac:dyDescent="0.3">
      <c r="B5" s="438" t="s">
        <v>2</v>
      </c>
      <c r="C5" s="713">
        <v>104.27</v>
      </c>
      <c r="D5" s="719">
        <v>634.45000000000005</v>
      </c>
      <c r="E5" s="719">
        <v>438.41699999999997</v>
      </c>
      <c r="F5" s="719">
        <v>473.64</v>
      </c>
      <c r="G5" s="720">
        <v>322.226</v>
      </c>
      <c r="H5" s="720">
        <v>154.678</v>
      </c>
      <c r="I5" s="723">
        <v>694.30799999999999</v>
      </c>
      <c r="J5" s="723">
        <v>532.74599999999998</v>
      </c>
      <c r="K5" s="723">
        <v>214.03700000000001</v>
      </c>
      <c r="L5" s="756"/>
      <c r="M5" s="283"/>
      <c r="N5" s="284"/>
      <c r="O5" s="284"/>
      <c r="P5" s="284"/>
      <c r="Q5" s="284"/>
      <c r="R5" s="284"/>
    </row>
    <row r="6" spans="2:18" ht="21" customHeight="1" x14ac:dyDescent="0.3">
      <c r="B6" s="438" t="s">
        <v>3</v>
      </c>
      <c r="C6" s="713">
        <v>104.27</v>
      </c>
      <c r="D6" s="719">
        <v>685.53</v>
      </c>
      <c r="E6" s="719">
        <v>526.01599999999996</v>
      </c>
      <c r="F6" s="719">
        <v>521.66</v>
      </c>
      <c r="G6" s="720">
        <v>517.93700000000001</v>
      </c>
      <c r="H6" s="720">
        <v>298.45100000000002</v>
      </c>
      <c r="I6" s="723">
        <v>688.57500000000005</v>
      </c>
      <c r="J6" s="723">
        <v>670.02</v>
      </c>
      <c r="K6" s="723">
        <v>324.33499999999998</v>
      </c>
      <c r="L6" s="756"/>
      <c r="M6" s="283"/>
      <c r="N6" s="284"/>
      <c r="O6" s="284"/>
      <c r="P6" s="284"/>
      <c r="Q6" s="284"/>
      <c r="R6" s="284"/>
    </row>
    <row r="7" spans="2:18" ht="21" customHeight="1" x14ac:dyDescent="0.3">
      <c r="B7" s="438" t="s">
        <v>4</v>
      </c>
      <c r="C7" s="713">
        <v>104.27</v>
      </c>
      <c r="D7" s="719">
        <v>679.47</v>
      </c>
      <c r="E7" s="719">
        <v>674.24699999999996</v>
      </c>
      <c r="F7" s="719">
        <v>603.81799999999998</v>
      </c>
      <c r="G7" s="720">
        <v>624.99099999999999</v>
      </c>
      <c r="H7" s="720">
        <v>349.92099999999999</v>
      </c>
      <c r="I7" s="723">
        <v>631.97299999999996</v>
      </c>
      <c r="J7" s="723">
        <v>655.83399999999995</v>
      </c>
      <c r="K7" s="723">
        <v>407.089</v>
      </c>
      <c r="L7" s="756"/>
      <c r="M7" s="283"/>
      <c r="N7" s="284"/>
      <c r="O7" s="284"/>
      <c r="P7" s="284"/>
      <c r="Q7" s="284"/>
      <c r="R7" s="284"/>
    </row>
    <row r="8" spans="2:18" ht="21" customHeight="1" x14ac:dyDescent="0.3">
      <c r="B8" s="438" t="s">
        <v>5</v>
      </c>
      <c r="C8" s="713">
        <v>104.27</v>
      </c>
      <c r="D8" s="719">
        <v>655.19399999999996</v>
      </c>
      <c r="E8" s="719">
        <v>721.81299999999999</v>
      </c>
      <c r="F8" s="719">
        <v>656.19100000000003</v>
      </c>
      <c r="G8" s="720">
        <v>706.18299999999999</v>
      </c>
      <c r="H8" s="720">
        <v>377.25400000000002</v>
      </c>
      <c r="I8" s="723">
        <v>672.57600000000002</v>
      </c>
      <c r="J8" s="723">
        <v>565.30999999999995</v>
      </c>
      <c r="K8" s="723">
        <v>485.29199999999997</v>
      </c>
      <c r="L8" s="756"/>
      <c r="M8" s="283"/>
      <c r="N8" s="284"/>
      <c r="O8" s="284"/>
      <c r="P8" s="285"/>
      <c r="Q8" s="284"/>
      <c r="R8" s="284"/>
    </row>
    <row r="9" spans="2:18" ht="21" customHeight="1" x14ac:dyDescent="0.3">
      <c r="B9" s="438" t="s">
        <v>6</v>
      </c>
      <c r="C9" s="713">
        <v>104.27</v>
      </c>
      <c r="D9" s="719">
        <v>586.59</v>
      </c>
      <c r="E9" s="719">
        <v>674.64800000000002</v>
      </c>
      <c r="F9" s="719">
        <v>602.63300000000004</v>
      </c>
      <c r="G9" s="720">
        <v>640.05600000000004</v>
      </c>
      <c r="H9" s="720">
        <v>356.87400000000002</v>
      </c>
      <c r="I9" s="723">
        <v>599.19000000000005</v>
      </c>
      <c r="J9" s="723">
        <v>445.02800000000002</v>
      </c>
      <c r="K9" s="723">
        <v>389.49799999999999</v>
      </c>
      <c r="L9" s="756"/>
      <c r="M9" s="283"/>
      <c r="N9" s="284"/>
      <c r="O9" s="284"/>
      <c r="P9" s="284"/>
      <c r="Q9" s="284"/>
      <c r="R9" s="284"/>
    </row>
    <row r="10" spans="2:18" ht="21" customHeight="1" x14ac:dyDescent="0.3">
      <c r="B10" s="438" t="s">
        <v>7</v>
      </c>
      <c r="C10" s="713">
        <v>104.27</v>
      </c>
      <c r="D10" s="719">
        <v>569.24</v>
      </c>
      <c r="E10" s="719">
        <v>711.37800000000004</v>
      </c>
      <c r="F10" s="719">
        <v>580.03499999999997</v>
      </c>
      <c r="G10" s="720">
        <v>583.11900000000003</v>
      </c>
      <c r="H10" s="720">
        <v>402.73200000000003</v>
      </c>
      <c r="I10" s="723">
        <v>578.61</v>
      </c>
      <c r="J10" s="723">
        <v>418.86200000000002</v>
      </c>
      <c r="K10" s="723">
        <v>329.93</v>
      </c>
      <c r="L10" s="756"/>
      <c r="M10" s="283"/>
      <c r="N10" s="284"/>
      <c r="O10" s="284"/>
      <c r="P10" s="284"/>
      <c r="Q10" s="284"/>
      <c r="R10" s="284"/>
    </row>
    <row r="11" spans="2:18" ht="21" customHeight="1" x14ac:dyDescent="0.3">
      <c r="B11" s="438" t="s">
        <v>8</v>
      </c>
      <c r="C11" s="713">
        <v>104.27</v>
      </c>
      <c r="D11" s="719">
        <v>550.83600000000001</v>
      </c>
      <c r="E11" s="719">
        <v>682.29399999999998</v>
      </c>
      <c r="F11" s="719">
        <v>583.11900000000003</v>
      </c>
      <c r="G11" s="720">
        <v>568.947</v>
      </c>
      <c r="H11" s="720">
        <v>447.35399999999998</v>
      </c>
      <c r="I11" s="723">
        <v>581.85400000000004</v>
      </c>
      <c r="J11" s="723">
        <v>409.64499999999998</v>
      </c>
      <c r="K11" s="723">
        <v>314.68799999999999</v>
      </c>
      <c r="L11" s="756"/>
      <c r="M11" s="283"/>
      <c r="N11" s="284"/>
      <c r="O11" s="284"/>
      <c r="P11" s="284"/>
      <c r="Q11" s="284"/>
      <c r="R11" s="284"/>
    </row>
    <row r="12" spans="2:18" ht="21" customHeight="1" x14ac:dyDescent="0.3">
      <c r="B12" s="438" t="s">
        <v>9</v>
      </c>
      <c r="C12" s="713">
        <v>104.27</v>
      </c>
      <c r="D12" s="719">
        <v>542.47699999999998</v>
      </c>
      <c r="E12" s="719">
        <v>682.29399999999998</v>
      </c>
      <c r="F12" s="719">
        <v>589.31799999999998</v>
      </c>
      <c r="G12" s="720">
        <v>526.08000000000004</v>
      </c>
      <c r="H12" s="720">
        <v>459.10899999999998</v>
      </c>
      <c r="I12" s="723">
        <v>581.39</v>
      </c>
      <c r="J12" s="723">
        <v>393.04599999999999</v>
      </c>
      <c r="K12" s="723">
        <v>302.90300000000002</v>
      </c>
      <c r="L12" s="756"/>
      <c r="M12" s="283"/>
      <c r="N12" s="284"/>
      <c r="O12" s="284"/>
      <c r="P12" s="284"/>
      <c r="Q12" s="284"/>
      <c r="R12" s="284"/>
    </row>
    <row r="13" spans="2:18" ht="21" customHeight="1" x14ac:dyDescent="0.3">
      <c r="B13" s="438" t="s">
        <v>10</v>
      </c>
      <c r="C13" s="713">
        <v>104.27</v>
      </c>
      <c r="D13" s="719">
        <v>525.67700000000002</v>
      </c>
      <c r="E13" s="719">
        <v>550.52800000000002</v>
      </c>
      <c r="F13" s="719">
        <v>470.94799999999998</v>
      </c>
      <c r="G13" s="720">
        <v>374.14800000000002</v>
      </c>
      <c r="H13" s="720">
        <v>524.82000000000005</v>
      </c>
      <c r="I13" s="723">
        <v>537.57000000000005</v>
      </c>
      <c r="J13" s="723">
        <v>360.88900000000001</v>
      </c>
      <c r="K13" s="723">
        <v>279.67099999999999</v>
      </c>
      <c r="L13" s="756"/>
      <c r="M13" s="283"/>
      <c r="N13" s="284"/>
      <c r="O13" s="284"/>
      <c r="P13" s="284"/>
      <c r="Q13" s="284"/>
      <c r="R13" s="284"/>
    </row>
    <row r="14" spans="2:18" ht="21" customHeight="1" x14ac:dyDescent="0.3">
      <c r="B14" s="438" t="s">
        <v>11</v>
      </c>
      <c r="C14" s="713">
        <v>104.27</v>
      </c>
      <c r="D14" s="719">
        <v>361.69600000000003</v>
      </c>
      <c r="E14" s="719">
        <v>410.85300000000001</v>
      </c>
      <c r="F14" s="719">
        <v>312.81099999999998</v>
      </c>
      <c r="G14" s="720">
        <v>210.16300000000001</v>
      </c>
      <c r="H14" s="720">
        <v>576.303</v>
      </c>
      <c r="I14" s="723">
        <v>388.791</v>
      </c>
      <c r="J14" s="723">
        <v>320.23</v>
      </c>
      <c r="K14" s="723">
        <v>258.798</v>
      </c>
      <c r="L14" s="756"/>
      <c r="M14" s="283"/>
      <c r="N14" s="284"/>
      <c r="O14" s="284"/>
      <c r="P14" s="284"/>
      <c r="Q14" s="284"/>
      <c r="R14" s="284"/>
    </row>
    <row r="15" spans="2:18" ht="21" customHeight="1" x14ac:dyDescent="0.3">
      <c r="B15" s="438" t="s">
        <v>12</v>
      </c>
      <c r="C15" s="713">
        <v>104.27</v>
      </c>
      <c r="D15" s="719">
        <v>272.79599999999999</v>
      </c>
      <c r="E15" s="719">
        <v>338.93700000000001</v>
      </c>
      <c r="F15" s="719">
        <v>243.71799999999999</v>
      </c>
      <c r="G15" s="720">
        <v>99.438000000000002</v>
      </c>
      <c r="H15" s="720">
        <v>599.19600000000003</v>
      </c>
      <c r="I15" s="723">
        <v>365.27300000000002</v>
      </c>
      <c r="J15" s="723">
        <v>83.424000000000007</v>
      </c>
      <c r="K15" s="723">
        <v>110.73399999999999</v>
      </c>
      <c r="L15" s="756"/>
      <c r="M15" s="283"/>
      <c r="N15" s="284"/>
      <c r="O15" s="284"/>
      <c r="P15" s="284"/>
      <c r="Q15" s="284"/>
      <c r="R15" s="284"/>
    </row>
    <row r="16" spans="2:18" ht="21" customHeight="1" thickBot="1" x14ac:dyDescent="0.35">
      <c r="B16" s="441" t="s">
        <v>13</v>
      </c>
      <c r="C16" s="714">
        <v>104.27</v>
      </c>
      <c r="D16" s="721">
        <v>81.23</v>
      </c>
      <c r="E16" s="721">
        <v>384.69600000000003</v>
      </c>
      <c r="F16" s="721">
        <v>308.40100000000001</v>
      </c>
      <c r="G16" s="722">
        <v>115.675</v>
      </c>
      <c r="H16" s="722">
        <v>597.04200000000003</v>
      </c>
      <c r="I16" s="724">
        <v>440.01600000000002</v>
      </c>
      <c r="J16" s="724">
        <v>134.81899999999999</v>
      </c>
      <c r="K16" s="724">
        <v>82.319000000000003</v>
      </c>
      <c r="L16" s="757"/>
      <c r="M16" s="283"/>
      <c r="N16" s="286"/>
      <c r="O16" s="286"/>
      <c r="P16" s="286"/>
      <c r="Q16" s="286"/>
      <c r="R16" s="286"/>
    </row>
    <row r="47" spans="2:13" x14ac:dyDescent="0.2">
      <c r="B47" s="287"/>
      <c r="C47" s="287"/>
      <c r="M47" s="287"/>
    </row>
    <row r="49" spans="2:13" x14ac:dyDescent="0.2">
      <c r="B49" s="287"/>
      <c r="C49" s="287"/>
      <c r="M49" s="287"/>
    </row>
    <row r="50" spans="2:13" x14ac:dyDescent="0.2">
      <c r="D50" s="280"/>
    </row>
    <row r="51" spans="2:13" x14ac:dyDescent="0.2">
      <c r="D51" s="280"/>
    </row>
    <row r="53" spans="2:13" x14ac:dyDescent="0.2">
      <c r="B53" s="280" t="s">
        <v>14</v>
      </c>
      <c r="C53" s="280"/>
    </row>
    <row r="54" spans="2:13" x14ac:dyDescent="0.2">
      <c r="B54" s="288" t="s">
        <v>131</v>
      </c>
      <c r="C54" s="288"/>
    </row>
    <row r="55" spans="2:13"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G9" sqref="G9"/>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15.42578125" style="269" customWidth="1"/>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300</v>
      </c>
      <c r="I4" s="762" t="s">
        <v>305</v>
      </c>
      <c r="J4" s="651"/>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759"/>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759"/>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759"/>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759"/>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759"/>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759"/>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759"/>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v>89.760999999999996</v>
      </c>
      <c r="I12" s="759"/>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v>55.1</v>
      </c>
      <c r="I13" s="759"/>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v>42.188000000000002</v>
      </c>
      <c r="I14" s="759"/>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v>28.933</v>
      </c>
      <c r="I15" s="759"/>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v>36.280999999999999</v>
      </c>
      <c r="I16" s="760"/>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K4" sqref="K4"/>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3.8554687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61" t="s">
        <v>305</v>
      </c>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759"/>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759"/>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759"/>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759"/>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759"/>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759"/>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759"/>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759"/>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759"/>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759"/>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759"/>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760"/>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2020-01-09T09:26:45Z</cp:lastPrinted>
  <dcterms:created xsi:type="dcterms:W3CDTF">2001-01-08T14:44:55Z</dcterms:created>
  <dcterms:modified xsi:type="dcterms:W3CDTF">2020-02-20T03:16:20Z</dcterms:modified>
</cp:coreProperties>
</file>