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F:\2023\KETERSEDIAAN AIR BENDUNGAN DAN BENDUNG 2023\2023. APRIL\"/>
    </mc:Choice>
  </mc:AlternateContent>
  <xr:revisionPtr revIDLastSave="0" documentId="13_ncr:1_{6328C10D-5482-4F64-A06E-D1293AADD804}" xr6:coauthVersionLast="47" xr6:coauthVersionMax="47" xr10:uidLastSave="{00000000-0000-0000-0000-000000000000}"/>
  <bookViews>
    <workbookView xWindow="-120" yWindow="-120" windowWidth="29040" windowHeight="15840" firstSheet="6" activeTab="14" xr2:uid="{00000000-000D-0000-FFFF-FFFF00000000}"/>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81029"/>
  <fileRecoveryPr autoRecover="0"/>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J40" i="13" s="1"/>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39" i="13" l="1"/>
  <c r="J19" i="13"/>
  <c r="AB12" i="30" s="1"/>
  <c r="J18" i="13"/>
  <c r="AB11" i="30" s="1"/>
  <c r="J17" i="13"/>
  <c r="AB10" i="30" s="1"/>
  <c r="J16" i="13"/>
  <c r="J35" i="13"/>
  <c r="J34" i="13"/>
  <c r="J33" i="13"/>
  <c r="AB26" i="30" s="1"/>
  <c r="J32" i="13"/>
  <c r="AB25" i="30" s="1"/>
  <c r="J31" i="13"/>
  <c r="AB24" i="30" s="1"/>
  <c r="J30" i="13"/>
  <c r="AB23" i="30" s="1"/>
  <c r="J29" i="13"/>
  <c r="AB22" i="30" s="1"/>
  <c r="J28" i="13"/>
  <c r="AB21" i="30" s="1"/>
  <c r="J27" i="13"/>
  <c r="AB20" i="30" s="1"/>
  <c r="J26" i="13"/>
  <c r="AB19" i="30" s="1"/>
  <c r="J25" i="13"/>
  <c r="AB18" i="30" s="1"/>
  <c r="J24" i="13"/>
  <c r="AB17" i="30" s="1"/>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05" i="11"/>
  <c r="AQ74" i="11"/>
  <c r="AQ75" i="11" s="1"/>
  <c r="AQ76" i="11" s="1"/>
  <c r="AS73" i="11"/>
  <c r="AS68" i="11"/>
  <c r="AS65" i="11"/>
  <c r="H155" i="11"/>
  <c r="AS66" i="11"/>
  <c r="AS72" i="11"/>
  <c r="AS70" i="11"/>
  <c r="AS67" i="11"/>
  <c r="AS75"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3" i="30"/>
  <c r="AB32" i="30"/>
  <c r="G54" i="11"/>
  <c r="E18" i="12"/>
  <c r="E54" i="11" s="1"/>
  <c r="E55" i="11" s="1"/>
  <c r="D49" i="3"/>
  <c r="AN41" i="11"/>
  <c r="AN42" i="11"/>
  <c r="AP57" i="11"/>
  <c r="J17" i="12"/>
  <c r="T10"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AB2" i="30" s="1"/>
  <c r="J13" i="12"/>
  <c r="T6" i="30" s="1"/>
  <c r="AB28" i="30"/>
  <c r="AB27" i="30"/>
  <c r="H18" i="12"/>
  <c r="J10" i="12"/>
  <c r="T3" i="30" s="1"/>
  <c r="J9" i="12"/>
  <c r="T2" i="30" s="1"/>
  <c r="J305" i="11"/>
  <c r="J104" i="11"/>
  <c r="J12" i="12"/>
  <c r="I18" i="12"/>
  <c r="H49" i="3"/>
  <c r="AJ41" i="11"/>
  <c r="AJ42" i="11"/>
  <c r="AJ40" i="11"/>
  <c r="AJ39" i="11"/>
  <c r="AT60" i="11"/>
  <c r="F49" i="3"/>
  <c r="J53" i="11"/>
  <c r="J204" i="11"/>
  <c r="J254" i="11"/>
  <c r="J354" i="11"/>
  <c r="J154" i="11"/>
  <c r="I41" i="13"/>
  <c r="H41" i="13"/>
  <c r="AS74" i="11" l="1"/>
  <c r="AQ77" i="11"/>
  <c r="AQ78" i="11" s="1"/>
  <c r="AS76" i="11"/>
  <c r="J41" i="13"/>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AS77" i="11" l="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<sst xmlns="http://schemas.openxmlformats.org/spreadsheetml/2006/main" count="1580" uniqueCount="344">
  <si>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</si>
  <si>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</si>
  <si>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</si>
  <si>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</si>
  <si>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</si>
  <si>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</si>
  <si>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</si>
  <si>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</si>
  <si>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</si>
  <si>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</si>
  <si>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</si>
  <si>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</si>
  <si>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</si>
  <si>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</si>
  <si>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</si>
  <si>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</si>
  <si>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</si>
  <si>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</si>
  <si>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</si>
  <si>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</si>
  <si>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</si>
  <si>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</si>
  <si>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</si>
  <si>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</si>
  <si>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</si>
  <si>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</si>
  <si>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</si>
  <si>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</si>
  <si>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</si>
  <si>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</si>
  <si>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</si>
  <si>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</si>
  <si>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</si>
  <si>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</si>
  <si>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</si>
  <si>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</si>
  <si>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</si>
  <si>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</si>
  <si>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</si>
  <si>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</si>
  <si>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</si>
  <si>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</si>
  <si>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</si>
  <si>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</si>
  <si>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</si>
  <si>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</si>
  <si>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</si>
  <si>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</si>
  <si>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</si>
  <si>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</si>
  <si>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</si>
  <si>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</si>
  <si>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</si>
  <si>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</si>
  <si>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</si>
  <si>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</si>
  <si>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</si>
  <si>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</si>
  <si>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</si>
  <si>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</si>
  <si>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</si>
  <si>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</si>
  <si>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</si>
  <si>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</si>
  <si>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</si>
  <si>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</si>
  <si>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</si>
  <si>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</si>
  <si>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</si>
  <si>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</si>
  <si>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</si>
  <si>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</si>
  <si>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</si>
  <si>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</si>
  <si>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</si>
  <si>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</si>
  <si>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</si>
  <si>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</si>
  <si>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</si>
  <si>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</si>
  <si>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</si>
  <si>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</si>
  <si>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</si>
  <si>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</si>
  <si>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</si>
  <si>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</si>
  <si>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</si>
  <si>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</si>
  <si>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</si>
  <si>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</si>
  <si>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</si>
  <si>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</si>
  <si>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</si>
  <si>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</si>
  <si>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</si>
  <si>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</si>
  <si>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</si>
  <si>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</si>
  <si>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</si>
  <si>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</si>
  <si>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</si>
  <si>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</si>
  <si>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</si>
  <si>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</si>
  <si>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</si>
  <si>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</si>
  <si>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</si>
  <si>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</si>
  <si>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</si>
  <si>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</si>
  <si>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</si>
  <si>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</si>
  <si>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</si>
  <si>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</si>
  <si>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</si>
  <si>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</si>
  <si>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</si>
  <si>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</si>
  <si>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</si>
  <si>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</si>
  <si>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</si>
  <si>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</si>
  <si>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</si>
  <si>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</si>
  <si>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</si>
  <si>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</si>
  <si>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</si>
  <si>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</si>
  <si>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</si>
  <si>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</si>
  <si>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</si>
  <si>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</si>
  <si>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</si>
  <si>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</si>
  <si>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</si>
  <si>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</si>
  <si>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</si>
  <si>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</si>
  <si>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</si>
  <si>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</si>
  <si>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</si>
  <si>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</si>
  <si>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</si>
  <si>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</si>
  <si>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</si>
  <si>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</si>
  <si>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</si>
  <si>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</si>
  <si>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</si>
  <si>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</si>
  <si>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</si>
  <si>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</si>
  <si>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</si>
  <si>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</si>
  <si>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</si>
  <si>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</si>
  <si>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</si>
  <si>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</si>
  <si>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</si>
  <si>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</si>
  <si>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</si>
  <si>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</si>
  <si>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</si>
  <si>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</si>
  <si>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</si>
  <si>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</si>
  <si>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</si>
  <si>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</si>
  <si>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</si>
  <si>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</si>
  <si>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</si>
  <si>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</si>
  <si>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</si>
  <si>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</si>
  <si>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</si>
  <si>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</si>
  <si>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</si>
  <si>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</si>
  <si>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</si>
  <si>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</si>
  <si>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</si>
  <si>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</si>
  <si>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</si>
  <si>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</si>
  <si>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</si>
  <si>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</si>
  <si>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</si>
  <si>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</si>
  <si>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</si>
  <si>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</si>
  <si>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</si>
  <si>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</si>
  <si>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</si>
  <si>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</si>
  <si>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</si>
  <si>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</si>
  <si>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</si>
  <si>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</si>
  <si>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</si>
  <si>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</si>
  <si>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</si>
  <si>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</si>
  <si>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</si>
  <si>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</si>
  <si>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</si>
  <si>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</si>
  <si>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</si>
  <si>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</si>
  <si>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</si>
  <si>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</si>
  <si>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</si>
  <si>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</si>
  <si>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</si>
  <si>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</si>
  <si>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</si>
  <si>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</si>
  <si>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</si>
  <si>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</si>
  <si>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</si>
  <si>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</si>
  <si>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</si>
  <si>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</si>
  <si>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</si>
  <si>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</si>
  <si>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</si>
  <si>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</si>
  <si>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</si>
  <si>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</si>
  <si>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</si>
  <si>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</si>
  <si>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</si>
  <si>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</si>
  <si>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</si>
  <si>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</si>
  <si>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</si>
  <si>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</si>
  <si>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</si>
  <si>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</si>
  <si>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</si>
  <si>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</si>
  <si>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</si>
  <si>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</si>
  <si>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</si>
  <si>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</si>
  <si>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</si>
  <si>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</si>
  <si>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</si>
  <si>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</si>
  <si>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</si>
  <si>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</si>
  <si>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</si>
  <si>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</si>
  <si>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</si>
  <si>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</si>
  <si>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</si>
  <si>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</si>
  <si>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</si>
  <si>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</si>
  <si>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</si>
  <si>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</si>
  <si>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</si>
  <si>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</si>
  <si>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</si>
  <si>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</si>
  <si>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</si>
  <si>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</si>
  <si>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</si>
  <si>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</si>
  <si>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</si>
  <si>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</si>
  <si>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</si>
  <si>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</si>
  <si>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</si>
  <si>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</si>
  <si>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</si>
  <si>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</si>
  <si>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</si>
  <si>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</si>
  <si>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</si>
  <si>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</si>
  <si>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</si>
  <si>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</si>
  <si>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</si>
  <si>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</si>
  <si>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</si>
  <si>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</si>
  <si>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</si>
  <si>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</si>
  <si>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</si>
  <si>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</si>
  <si>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</si>
  <si>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</si>
  <si>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</si>
  <si>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</si>
  <si>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</si>
  <si>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</si>
  <si>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</si>
  <si>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</si>
  <si>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</si>
  <si>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</si>
  <si>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</si>
  <si>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</si>
  <si>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</si>
  <si>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</si>
  <si>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</si>
  <si>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</si>
  <si>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</si>
  <si>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</si>
  <si>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</si>
  <si>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</si>
  <si>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</si>
  <si>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</si>
  <si>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</si>
  <si>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</si>
  <si>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</si>
  <si>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</si>
  <si>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</si>
  <si>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</si>
  <si>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</si>
  <si>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</si>
  <si>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</si>
  <si>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</si>
  <si>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</si>
  <si>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</si>
  <si>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</si>
  <si>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</si>
  <si>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</si>
  <si>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</si>
  <si>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</si>
  <si>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</si>
  <si>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</si>
  <si>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</si>
  <si>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</si>
  <si>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</si>
  <si>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</si>
  <si>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</si>
  <si>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</si>
  <si>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</si>
  <si>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</si>
  <si>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</si>
  <si>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 xml:space="preserve">MINGGU KE III APRIL ( 18 APRIL S/D 24 APRIL 2023 ) dalam Juta m3  </t>
  </si>
  <si>
    <t>*) = KONDISI  SAMPAI DENGAN TANGGAL 24 APRIL 2023</t>
  </si>
  <si>
    <t>MINGGU KE III APRIL 2023</t>
  </si>
  <si>
    <t>MINGGU  :  III APRIL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</si>
</sst>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_(* \(#,##0\);_(* &quot;-&quot;_);_(@_)"/>
    <numFmt numFmtId="165" formatCode="_(* #,##0.00_);_(* \(#,##0.00\);_(* &quot;-&quot;??_);_(@_)"/>
    <numFmt numFmtId="166" formatCode="_(* #,##0.000_);_(* \(#,##0.000\);_(* &quot;-&quot;??_);_(@_)"/>
    <numFmt numFmtId="167" formatCode="_(* #,##0_);_(* \(#,##0\);_(* &quot;-&quot;??_);_(@_)"/>
    <numFmt numFmtId="168" formatCode="_(* #,##0.0_);_(* \(#,##0.0\);_(* &quot;-&quot;??_);_(@_)"/>
    <numFmt numFmtId="169" formatCode="#,##0.000;[Red]#,##0.000"/>
    <numFmt numFmtId="170" formatCode="#,##0.00;[Red]#,##0.00"/>
    <numFmt numFmtId="171" formatCode="0.000"/>
    <numFmt numFmtId="172" formatCode="0_)"/>
    <numFmt numFmtId="173" formatCode="0_);\(0\)"/>
    <numFmt numFmtId="174" formatCode="_(* #,##0.000_);_(* \(#,##0.000\);_(* &quot;-&quot;???_);_(@_)"/>
    <numFmt numFmtId="175" formatCode="dd\-mm"/>
    <numFmt numFmtId="176" formatCode="_(* #,##0.00_);_(* \(#,##0.00\);_(* &quot;-&quot;_);_(@_)"/>
    <numFmt numFmtId="177" formatCode="_(* #,##0.000_);_(* \(#,##0.000\);_(* &quot;-&quot;_);_(@_)"/>
    <numFmt numFmtId="178" formatCode="_ * #,##0_)_R_p_ ;_ * \(#,##0\)_R_p_ ;_ * &quot;-&quot;_)_R_p_ ;_ @_ "/>
    <numFmt numFmtId="179" formatCode="_ * #,##0.00_)_R_p_ ;_ * \(#,##0.00\)_R_p_ ;_ * &quot;-&quot;??_)_R_p_ ;_ @_ "/>
    <numFmt numFmtId="180" formatCode="#,##0.000"/>
    <numFmt numFmtId="181"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165" fontId="3" fillId="0" borderId="0" applyFont="0" applyFill="0" applyBorder="0" applyProtection="0"/>
    <xf numFmtId="164"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79" fontId="3" fillId="0" borderId="0" applyFont="0" applyFill="0" applyBorder="0" applyAlignment="0" applyProtection="0"/>
    <xf numFmtId="178" fontId="3" fillId="0" borderId="0" applyFont="0" applyFill="0" applyBorder="0" applyAlignment="0" applyProtection="0"/>
    <xf numFmtId="0" fontId="73" fillId="0" borderId="0" applyNumberFormat="0" applyFill="0" applyBorder="0" applyAlignment="0" applyProtection="0">
      <alignment vertical="top"/>
      <protection locked="0"/>
    </xf>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74" fillId="0" borderId="0" applyFont="0" applyFill="0" applyBorder="0" applyAlignment="0" applyProtection="0"/>
    <xf numFmtId="178"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79" fillId="0" borderId="0" applyFont="0" applyFill="0" applyBorder="0" applyAlignment="0" applyProtection="0"/>
    <xf numFmtId="178" fontId="79"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82" fillId="0" borderId="0" applyFont="0" applyFill="0" applyBorder="0" applyAlignment="0" applyProtection="0"/>
    <xf numFmtId="178" fontId="8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9" fontId="83" fillId="0" borderId="0" applyFont="0" applyFill="0" applyBorder="0" applyAlignment="0" applyProtection="0"/>
    <xf numFmtId="178"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cellStyleXfs>
  <cellXfs count="906">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165" fontId="6" fillId="0" borderId="12" xfId="28" applyFont="1" applyBorder="1"/>
    <xf numFmtId="165" fontId="6" fillId="0" borderId="13" xfId="28" applyFont="1" applyBorder="1"/>
    <xf numFmtId="166" fontId="6" fillId="0" borderId="13" xfId="0" applyNumberFormat="1" applyFont="1" applyBorder="1"/>
    <xf numFmtId="0" fontId="5" fillId="0" borderId="13" xfId="0" applyFont="1" applyBorder="1"/>
    <xf numFmtId="0" fontId="4" fillId="0" borderId="14" xfId="0" applyFont="1" applyBorder="1"/>
    <xf numFmtId="165" fontId="6" fillId="0" borderId="15" xfId="28" applyFont="1" applyBorder="1"/>
    <xf numFmtId="0" fontId="5" fillId="0" borderId="15" xfId="0" applyFont="1" applyBorder="1" applyAlignment="1">
      <alignment horizontal="center"/>
    </xf>
    <xf numFmtId="0" fontId="5" fillId="0" borderId="16" xfId="0" applyFont="1" applyBorder="1"/>
    <xf numFmtId="166"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6" fontId="5" fillId="0" borderId="20" xfId="28" applyNumberFormat="1" applyFont="1" applyBorder="1"/>
    <xf numFmtId="167"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165" fontId="4" fillId="0" borderId="22" xfId="28" quotePrefix="1" applyFont="1" applyBorder="1"/>
    <xf numFmtId="165" fontId="4" fillId="0" borderId="23" xfId="28" quotePrefix="1" applyFont="1" applyBorder="1"/>
    <xf numFmtId="166" fontId="6" fillId="0" borderId="13" xfId="28" applyNumberFormat="1" applyFont="1" applyBorder="1"/>
    <xf numFmtId="165" fontId="6" fillId="0" borderId="13" xfId="0" applyNumberFormat="1" applyFont="1" applyBorder="1"/>
    <xf numFmtId="0" fontId="4" fillId="0" borderId="24" xfId="0" applyFont="1" applyBorder="1" applyAlignment="1">
      <alignment horizontal="center"/>
    </xf>
    <xf numFmtId="165" fontId="6" fillId="23" borderId="12" xfId="28" applyFont="1" applyFill="1" applyBorder="1"/>
    <xf numFmtId="170" fontId="6" fillId="23" borderId="12" xfId="28" applyNumberFormat="1" applyFont="1" applyFill="1" applyBorder="1" applyAlignment="1">
      <alignment horizontal="right"/>
    </xf>
    <xf numFmtId="169" fontId="6" fillId="23" borderId="12" xfId="28" applyNumberFormat="1" applyFont="1" applyFill="1" applyBorder="1" applyAlignment="1">
      <alignment horizontal="right"/>
    </xf>
    <xf numFmtId="166" fontId="6" fillId="23" borderId="12" xfId="28" applyNumberFormat="1" applyFont="1" applyFill="1" applyBorder="1"/>
    <xf numFmtId="167" fontId="10" fillId="0" borderId="25" xfId="28" applyNumberFormat="1" applyFont="1" applyBorder="1"/>
    <xf numFmtId="167" fontId="10" fillId="0" borderId="21" xfId="0" applyNumberFormat="1" applyFont="1" applyBorder="1"/>
    <xf numFmtId="168" fontId="4" fillId="0" borderId="26" xfId="28" applyNumberFormat="1" applyFont="1" applyBorder="1" applyAlignment="1">
      <alignment horizontal="center"/>
    </xf>
    <xf numFmtId="165" fontId="4" fillId="0" borderId="27" xfId="28" quotePrefix="1" applyFont="1" applyBorder="1" applyAlignment="1">
      <alignment vertical="center"/>
    </xf>
    <xf numFmtId="165" fontId="4" fillId="0" borderId="28" xfId="28" quotePrefix="1" applyFont="1" applyBorder="1" applyAlignment="1">
      <alignment vertical="center"/>
    </xf>
    <xf numFmtId="165" fontId="4" fillId="0" borderId="22" xfId="28" quotePrefix="1" applyFont="1" applyBorder="1" applyAlignment="1">
      <alignment vertical="center"/>
    </xf>
    <xf numFmtId="165" fontId="4" fillId="0" borderId="29" xfId="28" quotePrefix="1" applyFont="1" applyBorder="1" applyAlignment="1">
      <alignment vertical="center"/>
    </xf>
    <xf numFmtId="165"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6" fontId="6" fillId="0" borderId="12" xfId="28" applyNumberFormat="1" applyFont="1" applyBorder="1"/>
    <xf numFmtId="170" fontId="6" fillId="23" borderId="13" xfId="28" applyNumberFormat="1" applyFont="1" applyFill="1" applyBorder="1" applyAlignment="1">
      <alignment horizontal="right"/>
    </xf>
    <xf numFmtId="169" fontId="6" fillId="23" borderId="13" xfId="28" applyNumberFormat="1" applyFont="1" applyFill="1" applyBorder="1" applyAlignment="1">
      <alignment horizontal="right"/>
    </xf>
    <xf numFmtId="165" fontId="6" fillId="23" borderId="13" xfId="28" applyFont="1" applyFill="1" applyBorder="1"/>
    <xf numFmtId="166" fontId="6" fillId="23" borderId="13" xfId="28" applyNumberFormat="1" applyFont="1" applyFill="1" applyBorder="1"/>
    <xf numFmtId="165" fontId="4" fillId="0" borderId="30" xfId="28" quotePrefix="1" applyFont="1" applyBorder="1"/>
    <xf numFmtId="0" fontId="4" fillId="0" borderId="38" xfId="0" applyFont="1" applyBorder="1" applyAlignment="1">
      <alignment horizontal="center"/>
    </xf>
    <xf numFmtId="0" fontId="5" fillId="0" borderId="31" xfId="0" applyFont="1" applyBorder="1"/>
    <xf numFmtId="165" fontId="6" fillId="0" borderId="31" xfId="28" applyFont="1" applyBorder="1"/>
    <xf numFmtId="165" fontId="6" fillId="0" borderId="31" xfId="0" applyNumberFormat="1" applyFont="1" applyBorder="1"/>
    <xf numFmtId="166" fontId="6" fillId="0" borderId="31" xfId="28" applyNumberFormat="1" applyFont="1" applyBorder="1"/>
    <xf numFmtId="166" fontId="6" fillId="0" borderId="39" xfId="0" applyNumberFormat="1" applyFont="1" applyBorder="1"/>
    <xf numFmtId="167" fontId="10" fillId="0" borderId="40" xfId="28" applyNumberFormat="1" applyFont="1" applyBorder="1"/>
    <xf numFmtId="165" fontId="5" fillId="0" borderId="26" xfId="0" applyNumberFormat="1" applyFont="1" applyBorder="1"/>
    <xf numFmtId="166" fontId="6" fillId="0" borderId="41" xfId="0" applyNumberFormat="1" applyFont="1" applyBorder="1"/>
    <xf numFmtId="165" fontId="6" fillId="0" borderId="12" xfId="0" applyNumberFormat="1" applyFont="1" applyBorder="1"/>
    <xf numFmtId="166" fontId="6" fillId="0" borderId="42" xfId="0" applyNumberFormat="1" applyFont="1" applyBorder="1"/>
    <xf numFmtId="167" fontId="10" fillId="0" borderId="43" xfId="28" applyNumberFormat="1" applyFont="1" applyBorder="1"/>
    <xf numFmtId="165" fontId="4" fillId="0" borderId="27" xfId="28" quotePrefix="1" applyFont="1" applyBorder="1"/>
    <xf numFmtId="0" fontId="44" fillId="0" borderId="0" xfId="0" applyFont="1"/>
    <xf numFmtId="0" fontId="45" fillId="0" borderId="0" xfId="0" applyFont="1"/>
    <xf numFmtId="168" fontId="46" fillId="0" borderId="44" xfId="28" applyNumberFormat="1" applyFont="1" applyFill="1" applyBorder="1" applyAlignment="1" applyProtection="1">
      <alignment horizontal="center" vertical="center"/>
    </xf>
    <xf numFmtId="167" fontId="47" fillId="0" borderId="45" xfId="28" quotePrefix="1" applyNumberFormat="1" applyFont="1" applyFill="1" applyBorder="1" applyAlignment="1" applyProtection="1">
      <alignment horizontal="center" vertical="center"/>
    </xf>
    <xf numFmtId="168" fontId="46" fillId="0" borderId="46" xfId="28" applyNumberFormat="1" applyFont="1" applyFill="1" applyBorder="1" applyAlignment="1" applyProtection="1">
      <alignment horizontal="center"/>
    </xf>
    <xf numFmtId="166" fontId="46" fillId="0" borderId="47" xfId="28" applyNumberFormat="1" applyFont="1" applyFill="1" applyBorder="1" applyProtection="1"/>
    <xf numFmtId="166" fontId="46" fillId="0" borderId="48" xfId="28" applyNumberFormat="1" applyFont="1" applyFill="1" applyBorder="1" applyProtection="1"/>
    <xf numFmtId="168" fontId="46" fillId="0" borderId="49" xfId="28" applyNumberFormat="1" applyFont="1" applyFill="1" applyBorder="1" applyAlignment="1" applyProtection="1">
      <alignment horizontal="center"/>
    </xf>
    <xf numFmtId="166" fontId="46" fillId="0" borderId="50" xfId="28" applyNumberFormat="1" applyFont="1" applyFill="1" applyBorder="1"/>
    <xf numFmtId="166" fontId="46" fillId="0" borderId="50" xfId="28" applyNumberFormat="1" applyFont="1" applyFill="1" applyBorder="1" applyProtection="1"/>
    <xf numFmtId="166" fontId="46" fillId="0" borderId="51" xfId="28" applyNumberFormat="1" applyFont="1" applyFill="1" applyBorder="1" applyProtection="1"/>
    <xf numFmtId="173"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165" fontId="46" fillId="0" borderId="11" xfId="28" applyFont="1" applyBorder="1"/>
    <xf numFmtId="166" fontId="46" fillId="0" borderId="11" xfId="0" applyNumberFormat="1" applyFont="1" applyBorder="1"/>
    <xf numFmtId="165" fontId="46" fillId="0" borderId="11" xfId="28" applyFont="1" applyBorder="1" applyAlignment="1">
      <alignment horizontal="center"/>
    </xf>
    <xf numFmtId="166" fontId="46" fillId="0" borderId="11" xfId="28" applyNumberFormat="1" applyFont="1" applyBorder="1"/>
    <xf numFmtId="164" fontId="46" fillId="0" borderId="11" xfId="29" applyFont="1" applyBorder="1"/>
    <xf numFmtId="164" fontId="46" fillId="0" borderId="0" xfId="29" applyFont="1" applyBorder="1"/>
    <xf numFmtId="165" fontId="46" fillId="0" borderId="12" xfId="28" applyFont="1" applyBorder="1"/>
    <xf numFmtId="166" fontId="46" fillId="0" borderId="12" xfId="0" applyNumberFormat="1" applyFont="1" applyBorder="1"/>
    <xf numFmtId="165" fontId="46" fillId="0" borderId="12" xfId="28" applyFont="1" applyBorder="1" applyAlignment="1">
      <alignment horizontal="right"/>
    </xf>
    <xf numFmtId="164" fontId="46" fillId="0" borderId="12" xfId="29" applyFont="1" applyBorder="1"/>
    <xf numFmtId="170" fontId="46" fillId="0" borderId="12" xfId="28" applyNumberFormat="1" applyFont="1" applyBorder="1" applyAlignment="1">
      <alignment horizontal="right"/>
    </xf>
    <xf numFmtId="164" fontId="46" fillId="0" borderId="12" xfId="29" quotePrefix="1" applyFont="1" applyBorder="1" applyAlignment="1">
      <alignment horizontal="center"/>
    </xf>
    <xf numFmtId="165" fontId="46" fillId="0" borderId="12" xfId="28" applyFont="1" applyBorder="1" applyAlignment="1">
      <alignment horizontal="center"/>
    </xf>
    <xf numFmtId="164" fontId="46" fillId="0" borderId="12" xfId="29" applyFont="1" applyBorder="1" applyAlignment="1">
      <alignment horizontal="center"/>
    </xf>
    <xf numFmtId="164" fontId="46" fillId="0" borderId="0" xfId="29" quotePrefix="1" applyFont="1" applyBorder="1" applyAlignment="1">
      <alignment horizontal="center"/>
    </xf>
    <xf numFmtId="164" fontId="46" fillId="0" borderId="0" xfId="29" applyFont="1" applyBorder="1" applyAlignment="1">
      <alignment horizontal="center"/>
    </xf>
    <xf numFmtId="170" fontId="46" fillId="0" borderId="12" xfId="28" quotePrefix="1" applyNumberFormat="1" applyFont="1" applyBorder="1" applyAlignment="1">
      <alignment horizontal="right"/>
    </xf>
    <xf numFmtId="164" fontId="46" fillId="0" borderId="13" xfId="29" applyFont="1" applyBorder="1"/>
    <xf numFmtId="165" fontId="46" fillId="0" borderId="15" xfId="28" applyFont="1" applyBorder="1"/>
    <xf numFmtId="166" fontId="44" fillId="0" borderId="0" xfId="0" applyNumberFormat="1" applyFont="1"/>
    <xf numFmtId="165"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164"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6" fontId="46" fillId="0" borderId="15" xfId="0" applyNumberFormat="1" applyFont="1" applyBorder="1"/>
    <xf numFmtId="167"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6" fontId="46" fillId="0" borderId="0" xfId="0" applyNumberFormat="1" applyFont="1"/>
    <xf numFmtId="166" fontId="46" fillId="0" borderId="0" xfId="0" applyNumberFormat="1" applyFont="1" applyAlignment="1">
      <alignment horizontal="right"/>
    </xf>
    <xf numFmtId="166" fontId="46" fillId="0" borderId="0" xfId="28" applyNumberFormat="1" applyFont="1" applyBorder="1"/>
    <xf numFmtId="168" fontId="46" fillId="0" borderId="0" xfId="28" applyNumberFormat="1" applyFont="1" applyBorder="1" applyAlignment="1" applyProtection="1">
      <alignment horizontal="center"/>
    </xf>
    <xf numFmtId="168" fontId="47" fillId="0" borderId="44" xfId="28" applyNumberFormat="1" applyFont="1" applyFill="1" applyBorder="1" applyAlignment="1" applyProtection="1">
      <alignment horizontal="center"/>
    </xf>
    <xf numFmtId="167" fontId="47" fillId="0" borderId="45" xfId="28" quotePrefix="1" applyNumberFormat="1" applyFont="1" applyFill="1" applyBorder="1" applyAlignment="1" applyProtection="1">
      <alignment horizontal="center"/>
    </xf>
    <xf numFmtId="167" fontId="47" fillId="0" borderId="59" xfId="28" quotePrefix="1" applyNumberFormat="1" applyFont="1" applyFill="1" applyBorder="1" applyAlignment="1" applyProtection="1">
      <alignment horizontal="center"/>
    </xf>
    <xf numFmtId="166" fontId="46" fillId="0" borderId="60" xfId="28" applyNumberFormat="1" applyFont="1" applyFill="1" applyBorder="1" applyProtection="1"/>
    <xf numFmtId="166" fontId="46" fillId="0" borderId="61" xfId="28" applyNumberFormat="1" applyFont="1" applyFill="1" applyBorder="1" applyProtection="1"/>
    <xf numFmtId="168" fontId="46" fillId="0" borderId="0" xfId="28" applyNumberFormat="1" applyFont="1" applyFill="1" applyBorder="1" applyAlignment="1" applyProtection="1">
      <alignment horizontal="center"/>
    </xf>
    <xf numFmtId="166" fontId="46" fillId="0" borderId="0" xfId="28" applyNumberFormat="1" applyFont="1" applyFill="1" applyBorder="1"/>
    <xf numFmtId="168" fontId="46" fillId="0" borderId="44" xfId="28" applyNumberFormat="1" applyFont="1" applyFill="1" applyBorder="1" applyAlignment="1" applyProtection="1">
      <alignment horizontal="center"/>
    </xf>
    <xf numFmtId="167" fontId="46" fillId="0" borderId="45" xfId="28" quotePrefix="1" applyNumberFormat="1" applyFont="1" applyFill="1" applyBorder="1" applyAlignment="1" applyProtection="1">
      <alignment horizontal="center"/>
    </xf>
    <xf numFmtId="167" fontId="46" fillId="0" borderId="59" xfId="28" quotePrefix="1" applyNumberFormat="1" applyFont="1" applyFill="1" applyBorder="1" applyAlignment="1" applyProtection="1">
      <alignment horizontal="center"/>
    </xf>
    <xf numFmtId="166" fontId="46" fillId="0" borderId="47" xfId="28" applyNumberFormat="1" applyFont="1" applyFill="1" applyBorder="1"/>
    <xf numFmtId="167" fontId="47" fillId="0" borderId="52" xfId="28" quotePrefix="1" applyNumberFormat="1" applyFont="1" applyFill="1" applyBorder="1" applyAlignment="1" applyProtection="1">
      <alignment horizontal="center"/>
    </xf>
    <xf numFmtId="166" fontId="46" fillId="0" borderId="0" xfId="28" applyNumberFormat="1" applyFont="1" applyBorder="1" applyProtection="1"/>
    <xf numFmtId="166" fontId="46" fillId="0" borderId="0" xfId="28" applyNumberFormat="1" applyFont="1" applyBorder="1" applyAlignment="1" applyProtection="1">
      <alignment horizontal="left"/>
    </xf>
    <xf numFmtId="167" fontId="46" fillId="0" borderId="0" xfId="28" quotePrefix="1" applyNumberFormat="1" applyFont="1" applyBorder="1" applyAlignment="1" applyProtection="1">
      <alignment horizontal="center"/>
    </xf>
    <xf numFmtId="168" fontId="46" fillId="0" borderId="62" xfId="28" applyNumberFormat="1" applyFont="1" applyFill="1" applyBorder="1" applyAlignment="1" applyProtection="1">
      <alignment horizontal="center" vertical="center"/>
    </xf>
    <xf numFmtId="167" fontId="46" fillId="0" borderId="19" xfId="28" quotePrefix="1" applyNumberFormat="1" applyFont="1" applyFill="1" applyBorder="1" applyAlignment="1" applyProtection="1">
      <alignment horizontal="center" vertical="center"/>
    </xf>
    <xf numFmtId="167" fontId="46" fillId="0" borderId="0" xfId="28" quotePrefix="1" applyNumberFormat="1" applyFont="1" applyFill="1" applyBorder="1" applyAlignment="1" applyProtection="1">
      <alignment horizontal="center"/>
    </xf>
    <xf numFmtId="166" fontId="46" fillId="0" borderId="0" xfId="28" applyNumberFormat="1" applyFont="1" applyFill="1" applyBorder="1" applyProtection="1"/>
    <xf numFmtId="166" fontId="46" fillId="0" borderId="0" xfId="28" applyNumberFormat="1" applyFont="1" applyFill="1" applyBorder="1" applyAlignment="1" applyProtection="1">
      <alignment horizontal="left"/>
    </xf>
    <xf numFmtId="167" fontId="46" fillId="0" borderId="45" xfId="28" quotePrefix="1" applyNumberFormat="1" applyFont="1" applyFill="1" applyBorder="1" applyAlignment="1" applyProtection="1">
      <alignment horizontal="center" vertical="center"/>
    </xf>
    <xf numFmtId="167" fontId="46" fillId="0" borderId="52" xfId="28" quotePrefix="1" applyNumberFormat="1" applyFont="1" applyFill="1" applyBorder="1" applyAlignment="1" applyProtection="1">
      <alignment horizontal="center" vertical="center"/>
    </xf>
    <xf numFmtId="166" fontId="46" fillId="0" borderId="47" xfId="28" applyNumberFormat="1" applyFont="1" applyFill="1" applyBorder="1" applyAlignment="1" applyProtection="1">
      <alignment horizontal="center"/>
    </xf>
    <xf numFmtId="166" fontId="46" fillId="0" borderId="48" xfId="28" applyNumberFormat="1" applyFont="1" applyFill="1" applyBorder="1" applyAlignment="1" applyProtection="1">
      <alignment horizontal="center"/>
    </xf>
    <xf numFmtId="166" fontId="46" fillId="0" borderId="50" xfId="28" applyNumberFormat="1" applyFont="1" applyFill="1" applyBorder="1" applyAlignment="1" applyProtection="1">
      <alignment horizontal="center"/>
    </xf>
    <xf numFmtId="166"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165" fontId="49" fillId="0" borderId="12" xfId="28" quotePrefix="1" applyFont="1" applyBorder="1" applyAlignment="1">
      <alignment horizontal="center" vertical="center"/>
    </xf>
    <xf numFmtId="165" fontId="49" fillId="0" borderId="64" xfId="28" quotePrefix="1" applyFont="1" applyBorder="1"/>
    <xf numFmtId="167"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165" fontId="44" fillId="0" borderId="73" xfId="0" applyNumberFormat="1" applyFont="1" applyBorder="1" applyAlignment="1">
      <alignment horizontal="center" vertical="center"/>
    </xf>
    <xf numFmtId="165" fontId="44" fillId="0" borderId="74" xfId="0" applyNumberFormat="1" applyFont="1" applyBorder="1" applyAlignment="1">
      <alignment horizontal="center" vertical="center"/>
    </xf>
    <xf numFmtId="165" fontId="44" fillId="0" borderId="75" xfId="0" applyNumberFormat="1" applyFont="1" applyBorder="1" applyAlignment="1">
      <alignment horizontal="center" vertical="center"/>
    </xf>
    <xf numFmtId="165" fontId="44" fillId="0" borderId="76" xfId="0" applyNumberFormat="1" applyFont="1" applyBorder="1" applyAlignment="1">
      <alignment horizontal="center" vertical="center"/>
    </xf>
    <xf numFmtId="165" fontId="44" fillId="0" borderId="77" xfId="0" applyNumberFormat="1" applyFont="1" applyBorder="1" applyAlignment="1">
      <alignment horizontal="center" vertical="center"/>
    </xf>
    <xf numFmtId="165" fontId="44" fillId="0" borderId="78" xfId="0" applyNumberFormat="1" applyFont="1" applyBorder="1" applyAlignment="1">
      <alignment horizontal="center" vertical="center"/>
    </xf>
    <xf numFmtId="165" fontId="44" fillId="0" borderId="79" xfId="0" applyNumberFormat="1" applyFont="1" applyBorder="1" applyAlignment="1">
      <alignment horizontal="center" vertical="center"/>
    </xf>
    <xf numFmtId="167"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2" fontId="46" fillId="0" borderId="0" xfId="40" applyNumberFormat="1" applyFont="1" applyAlignment="1">
      <alignment horizontal="center" vertical="center"/>
    </xf>
    <xf numFmtId="171" fontId="46" fillId="0" borderId="0" xfId="40" applyNumberFormat="1" applyFont="1" applyAlignment="1">
      <alignment horizontal="center"/>
    </xf>
    <xf numFmtId="171"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2" fontId="47" fillId="0" borderId="45" xfId="40" applyNumberFormat="1" applyFont="1" applyBorder="1" applyAlignment="1">
      <alignment horizontal="center"/>
    </xf>
    <xf numFmtId="172" fontId="47" fillId="0" borderId="52" xfId="40" applyNumberFormat="1" applyFont="1" applyBorder="1" applyAlignment="1">
      <alignment horizontal="center"/>
    </xf>
    <xf numFmtId="0" fontId="46" fillId="0" borderId="46" xfId="40" applyFont="1" applyBorder="1" applyAlignment="1">
      <alignment horizontal="center"/>
    </xf>
    <xf numFmtId="166" fontId="46" fillId="0" borderId="12" xfId="40" applyNumberFormat="1" applyFont="1" applyBorder="1" applyAlignment="1">
      <alignment horizontal="center"/>
    </xf>
    <xf numFmtId="166"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6" fontId="46" fillId="0" borderId="82" xfId="40" applyNumberFormat="1" applyFont="1" applyBorder="1" applyAlignment="1">
      <alignment horizontal="center"/>
    </xf>
    <xf numFmtId="166" fontId="46" fillId="0" borderId="83" xfId="40" applyNumberFormat="1" applyFont="1" applyBorder="1" applyAlignment="1">
      <alignment horizontal="center"/>
    </xf>
    <xf numFmtId="172" fontId="47" fillId="0" borderId="0" xfId="40" applyNumberFormat="1" applyFont="1" applyAlignment="1">
      <alignment horizontal="center" vertical="center"/>
    </xf>
    <xf numFmtId="171" fontId="56" fillId="23" borderId="0" xfId="40" applyNumberFormat="1" applyFont="1" applyFill="1" applyAlignment="1">
      <alignment horizontal="center"/>
    </xf>
    <xf numFmtId="0" fontId="62" fillId="0" borderId="0" xfId="40" applyFont="1"/>
    <xf numFmtId="172" fontId="44" fillId="0" borderId="0" xfId="40" applyNumberFormat="1" applyFont="1" applyAlignment="1">
      <alignment horizontal="center"/>
    </xf>
    <xf numFmtId="171" fontId="46" fillId="0" borderId="80" xfId="40" applyNumberFormat="1" applyFont="1" applyBorder="1" applyAlignment="1">
      <alignment horizontal="center"/>
    </xf>
    <xf numFmtId="171" fontId="44" fillId="0" borderId="0" xfId="40" applyNumberFormat="1" applyFont="1" applyAlignment="1">
      <alignment horizontal="center"/>
    </xf>
    <xf numFmtId="0" fontId="44" fillId="0" borderId="0" xfId="40" applyFont="1" applyAlignment="1">
      <alignment horizontal="center"/>
    </xf>
    <xf numFmtId="171"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6" fontId="54" fillId="0" borderId="0" xfId="28" applyNumberFormat="1" applyFont="1" applyFill="1" applyBorder="1" applyAlignment="1">
      <alignment horizontal="center" vertical="center"/>
    </xf>
    <xf numFmtId="166" fontId="54" fillId="0" borderId="0" xfId="28" quotePrefix="1" applyNumberFormat="1" applyFont="1" applyFill="1" applyBorder="1" applyAlignment="1">
      <alignment horizontal="center" vertical="center"/>
    </xf>
    <xf numFmtId="165" fontId="46" fillId="29" borderId="33" xfId="28" applyFont="1" applyFill="1" applyBorder="1" applyAlignment="1">
      <alignment horizontal="center" vertical="center"/>
    </xf>
    <xf numFmtId="165"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165" fontId="46" fillId="33" borderId="11" xfId="28" applyFont="1" applyFill="1" applyBorder="1" applyAlignment="1">
      <alignment horizontal="center" vertical="center"/>
    </xf>
    <xf numFmtId="165" fontId="46" fillId="33" borderId="12" xfId="28" applyFont="1" applyFill="1" applyBorder="1" applyAlignment="1">
      <alignment horizontal="center" vertical="center"/>
    </xf>
    <xf numFmtId="165"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6"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5"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165"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165"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6" fontId="44" fillId="33" borderId="0" xfId="0" applyNumberFormat="1" applyFont="1" applyFill="1" applyAlignment="1">
      <alignment horizontal="center" vertical="center"/>
    </xf>
    <xf numFmtId="169"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6" fontId="46" fillId="33" borderId="105" xfId="0" quotePrefix="1" applyNumberFormat="1" applyFont="1" applyFill="1" applyBorder="1" applyAlignment="1">
      <alignment horizontal="center" vertical="center"/>
    </xf>
    <xf numFmtId="166"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6"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165" fontId="46" fillId="33" borderId="33" xfId="28" applyFont="1" applyFill="1" applyBorder="1" applyAlignment="1">
      <alignment vertical="center"/>
    </xf>
    <xf numFmtId="9" fontId="46" fillId="33" borderId="15" xfId="43" applyFont="1" applyFill="1" applyBorder="1" applyAlignment="1">
      <alignment vertical="center"/>
    </xf>
    <xf numFmtId="165"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165"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4" fontId="51" fillId="33" borderId="21" xfId="0" applyNumberFormat="1" applyFont="1" applyFill="1" applyBorder="1" applyAlignment="1">
      <alignment horizontal="center" vertical="center"/>
    </xf>
    <xf numFmtId="174"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165"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165" fontId="0" fillId="0" borderId="0" xfId="0" applyNumberFormat="1" applyAlignment="1">
      <alignment vertical="top" wrapText="1"/>
    </xf>
    <xf numFmtId="165"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165"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165"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165"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165"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6" fontId="46" fillId="33" borderId="64" xfId="0" applyNumberFormat="1" applyFont="1" applyFill="1" applyBorder="1" applyAlignment="1">
      <alignment horizontal="center" vertical="center"/>
    </xf>
    <xf numFmtId="174"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165" fontId="54" fillId="0" borderId="0" xfId="0" applyNumberFormat="1" applyFont="1" applyAlignment="1">
      <alignment horizontal="center" vertical="center"/>
    </xf>
    <xf numFmtId="165" fontId="41" fillId="0" borderId="0" xfId="28" applyFont="1" applyAlignment="1">
      <alignment horizontal="left"/>
    </xf>
    <xf numFmtId="174"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6" fontId="46" fillId="33" borderId="64" xfId="0" applyNumberFormat="1" applyFont="1" applyFill="1" applyBorder="1" applyAlignment="1">
      <alignment horizontal="left" vertical="center" indent="1"/>
    </xf>
    <xf numFmtId="166" fontId="46" fillId="33" borderId="65" xfId="0" applyNumberFormat="1" applyFont="1" applyFill="1" applyBorder="1" applyAlignment="1">
      <alignment horizontal="left" vertical="center" indent="1"/>
    </xf>
    <xf numFmtId="2" fontId="44" fillId="0" borderId="0" xfId="0" applyNumberFormat="1" applyFont="1"/>
    <xf numFmtId="166" fontId="46" fillId="33" borderId="64" xfId="0" quotePrefix="1" applyNumberFormat="1" applyFont="1" applyFill="1" applyBorder="1" applyAlignment="1">
      <alignment horizontal="center" vertical="center"/>
    </xf>
    <xf numFmtId="0" fontId="3" fillId="0" borderId="26" xfId="40" applyBorder="1"/>
    <xf numFmtId="165" fontId="54" fillId="33" borderId="0" xfId="0" applyNumberFormat="1" applyFont="1" applyFill="1" applyAlignment="1">
      <alignment horizontal="center" vertical="center" shrinkToFit="1"/>
    </xf>
    <xf numFmtId="165" fontId="46" fillId="33" borderId="0" xfId="28" applyFont="1" applyFill="1" applyBorder="1" applyAlignment="1">
      <alignment horizontal="center" vertical="center"/>
    </xf>
    <xf numFmtId="165"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70"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165" fontId="54" fillId="33" borderId="0" xfId="28" applyFont="1" applyFill="1" applyBorder="1" applyAlignment="1">
      <alignment horizontal="center" vertical="center"/>
    </xf>
    <xf numFmtId="165" fontId="54" fillId="33" borderId="0" xfId="28" quotePrefix="1" applyFont="1" applyFill="1" applyBorder="1" applyAlignment="1">
      <alignment horizontal="center" vertical="center"/>
    </xf>
    <xf numFmtId="165"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2"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165" fontId="69" fillId="33" borderId="12" xfId="28" applyFont="1" applyFill="1" applyBorder="1" applyAlignment="1">
      <alignment horizontal="center" vertical="center"/>
    </xf>
    <xf numFmtId="165" fontId="69" fillId="33" borderId="19" xfId="28" applyFont="1" applyFill="1" applyBorder="1"/>
    <xf numFmtId="174" fontId="69" fillId="33" borderId="19" xfId="0" applyNumberFormat="1" applyFont="1" applyFill="1" applyBorder="1" applyAlignment="1">
      <alignment horizontal="center" vertical="center"/>
    </xf>
    <xf numFmtId="167" fontId="49" fillId="0" borderId="120" xfId="0" applyNumberFormat="1" applyFont="1" applyBorder="1"/>
    <xf numFmtId="167"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2" fontId="46" fillId="0" borderId="45" xfId="40" applyNumberFormat="1" applyFont="1" applyBorder="1" applyAlignment="1">
      <alignment horizontal="center" vertical="center"/>
    </xf>
    <xf numFmtId="172"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165" fontId="46" fillId="33" borderId="99" xfId="28" applyFont="1" applyFill="1" applyBorder="1" applyAlignment="1">
      <alignment horizontal="center" vertical="center"/>
    </xf>
    <xf numFmtId="165" fontId="46" fillId="33" borderId="19" xfId="40" applyNumberFormat="1" applyFont="1" applyFill="1" applyBorder="1" applyAlignment="1">
      <alignment vertical="center"/>
    </xf>
    <xf numFmtId="165"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2" fontId="46" fillId="26" borderId="19" xfId="40" applyNumberFormat="1" applyFont="1" applyFill="1" applyBorder="1" applyAlignment="1">
      <alignment horizontal="center" vertical="center"/>
    </xf>
    <xf numFmtId="165" fontId="46" fillId="26" borderId="19" xfId="40" applyNumberFormat="1" applyFont="1" applyFill="1" applyBorder="1" applyAlignment="1">
      <alignment vertical="center"/>
    </xf>
    <xf numFmtId="172" fontId="46" fillId="38" borderId="19" xfId="40" applyNumberFormat="1" applyFont="1" applyFill="1" applyBorder="1" applyAlignment="1">
      <alignment horizontal="center" vertical="center"/>
    </xf>
    <xf numFmtId="165" fontId="46" fillId="38" borderId="19" xfId="40" applyNumberFormat="1" applyFont="1" applyFill="1" applyBorder="1" applyAlignment="1">
      <alignment vertical="center"/>
    </xf>
    <xf numFmtId="167" fontId="46" fillId="0" borderId="123" xfId="28" quotePrefix="1" applyNumberFormat="1" applyFont="1" applyFill="1" applyBorder="1" applyAlignment="1" applyProtection="1">
      <alignment horizontal="center"/>
    </xf>
    <xf numFmtId="166" fontId="46" fillId="0" borderId="22" xfId="28" quotePrefix="1" applyNumberFormat="1" applyFont="1" applyFill="1" applyBorder="1" applyAlignment="1" applyProtection="1">
      <alignment horizontal="center"/>
    </xf>
    <xf numFmtId="166" fontId="46" fillId="0" borderId="124" xfId="28" quotePrefix="1" applyNumberFormat="1" applyFont="1" applyFill="1" applyBorder="1" applyAlignment="1" applyProtection="1">
      <alignment horizontal="center"/>
    </xf>
    <xf numFmtId="167" fontId="47" fillId="0" borderId="123" xfId="28" quotePrefix="1" applyNumberFormat="1" applyFont="1" applyFill="1" applyBorder="1" applyAlignment="1" applyProtection="1">
      <alignment horizontal="center"/>
    </xf>
    <xf numFmtId="172" fontId="46" fillId="0" borderId="125" xfId="40" applyNumberFormat="1" applyFont="1" applyBorder="1" applyAlignment="1">
      <alignment horizontal="center" vertical="center"/>
    </xf>
    <xf numFmtId="171" fontId="46" fillId="0" borderId="22" xfId="28" applyNumberFormat="1" applyFont="1" applyFill="1" applyBorder="1" applyAlignment="1" applyProtection="1">
      <alignment horizontal="center" vertical="center"/>
    </xf>
    <xf numFmtId="171"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7" fontId="47" fillId="0" borderId="59" xfId="28" quotePrefix="1" applyNumberFormat="1" applyFont="1" applyFill="1" applyBorder="1" applyAlignment="1" applyProtection="1">
      <alignment horizontal="center" vertical="center"/>
    </xf>
    <xf numFmtId="167"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6"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165" fontId="70" fillId="33" borderId="0" xfId="0" applyNumberFormat="1" applyFont="1" applyFill="1" applyAlignment="1">
      <alignment horizontal="center" vertical="center"/>
    </xf>
    <xf numFmtId="165" fontId="46" fillId="0" borderId="0" xfId="28" applyFont="1" applyFill="1" applyBorder="1" applyAlignment="1">
      <alignment horizontal="center" vertical="center"/>
    </xf>
    <xf numFmtId="165"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165" fontId="54" fillId="0" borderId="0" xfId="28" applyFont="1" applyFill="1" applyBorder="1" applyAlignment="1">
      <alignment horizontal="center" vertical="center"/>
    </xf>
    <xf numFmtId="165"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165" fontId="69" fillId="33" borderId="0" xfId="28" applyFont="1" applyFill="1" applyBorder="1" applyAlignment="1">
      <alignment horizontal="center" vertical="center"/>
    </xf>
    <xf numFmtId="165"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71" fontId="69" fillId="33" borderId="0" xfId="0" applyNumberFormat="1" applyFont="1" applyFill="1" applyAlignment="1">
      <alignment vertical="center"/>
    </xf>
    <xf numFmtId="165" fontId="70" fillId="33" borderId="0" xfId="28" applyFont="1" applyFill="1" applyBorder="1" applyAlignment="1">
      <alignment vertical="center"/>
    </xf>
    <xf numFmtId="165" fontId="70" fillId="33" borderId="0" xfId="28" applyFont="1" applyFill="1" applyBorder="1" applyAlignment="1">
      <alignment horizontal="center" vertical="center"/>
    </xf>
    <xf numFmtId="165"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71" fontId="70" fillId="33" borderId="0" xfId="0" applyNumberFormat="1" applyFont="1" applyFill="1" applyAlignment="1">
      <alignment horizontal="right" vertical="center"/>
    </xf>
    <xf numFmtId="171"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6" fontId="46" fillId="33" borderId="105" xfId="0" applyNumberFormat="1" applyFont="1" applyFill="1" applyBorder="1" applyAlignment="1">
      <alignment horizontal="left" vertical="center" indent="1"/>
    </xf>
    <xf numFmtId="166"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165"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6" fontId="46" fillId="33" borderId="65" xfId="0" applyNumberFormat="1" applyFont="1" applyFill="1" applyBorder="1" applyAlignment="1">
      <alignment horizontal="center" vertical="center"/>
    </xf>
    <xf numFmtId="166"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165"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165" fontId="47" fillId="33" borderId="11" xfId="28" applyFont="1" applyFill="1" applyBorder="1" applyAlignment="1">
      <alignment horizontal="center" vertical="center"/>
    </xf>
    <xf numFmtId="166" fontId="47" fillId="33" borderId="103" xfId="0" applyNumberFormat="1" applyFont="1" applyFill="1" applyBorder="1" applyAlignment="1">
      <alignment horizontal="left" vertical="center" indent="1"/>
    </xf>
    <xf numFmtId="166"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165" fontId="47" fillId="33" borderId="12" xfId="28" applyFont="1" applyFill="1" applyBorder="1" applyAlignment="1">
      <alignment horizontal="center" vertical="center"/>
    </xf>
    <xf numFmtId="165" fontId="47" fillId="33" borderId="12" xfId="0" applyNumberFormat="1" applyFont="1" applyFill="1" applyBorder="1" applyAlignment="1">
      <alignment horizontal="center" vertical="center"/>
    </xf>
    <xf numFmtId="165" fontId="47" fillId="33" borderId="12" xfId="28" applyFont="1" applyFill="1" applyBorder="1" applyAlignment="1">
      <alignment vertical="center"/>
    </xf>
    <xf numFmtId="176" fontId="47" fillId="0" borderId="12" xfId="47" applyNumberFormat="1" applyFont="1" applyBorder="1" applyAlignment="1">
      <alignment vertical="center"/>
    </xf>
    <xf numFmtId="166" fontId="47" fillId="0" borderId="12" xfId="49" applyNumberFormat="1" applyFont="1" applyBorder="1" applyAlignment="1">
      <alignment vertical="center"/>
    </xf>
    <xf numFmtId="177"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6"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165" fontId="47" fillId="33" borderId="12" xfId="28" quotePrefix="1" applyFont="1" applyFill="1" applyBorder="1" applyAlignment="1">
      <alignment horizontal="center" vertical="center"/>
    </xf>
    <xf numFmtId="165" fontId="47" fillId="33" borderId="11" xfId="28" applyFont="1" applyFill="1" applyBorder="1" applyAlignment="1">
      <alignment vertical="center"/>
    </xf>
    <xf numFmtId="165" fontId="47" fillId="33" borderId="11" xfId="28" quotePrefix="1" applyFont="1" applyFill="1" applyBorder="1" applyAlignment="1">
      <alignment horizontal="center" vertical="center"/>
    </xf>
    <xf numFmtId="165" fontId="47" fillId="33" borderId="12" xfId="28" quotePrefix="1" applyFont="1" applyFill="1" applyBorder="1" applyAlignment="1">
      <alignment vertical="center"/>
    </xf>
    <xf numFmtId="165"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6" fontId="47" fillId="33" borderId="93" xfId="0" applyNumberFormat="1" applyFont="1" applyFill="1" applyBorder="1" applyAlignment="1">
      <alignment horizontal="center" vertical="center"/>
    </xf>
    <xf numFmtId="166"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165" fontId="47" fillId="33" borderId="33" xfId="28" applyFont="1" applyFill="1" applyBorder="1" applyAlignment="1">
      <alignment vertical="center"/>
    </xf>
    <xf numFmtId="166"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6" fontId="46" fillId="0" borderId="29" xfId="28" quotePrefix="1" applyNumberFormat="1" applyFont="1" applyFill="1" applyBorder="1" applyAlignment="1" applyProtection="1">
      <alignment horizontal="center"/>
    </xf>
    <xf numFmtId="167"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7" fontId="49" fillId="0" borderId="12" xfId="28" applyNumberFormat="1" applyFont="1" applyBorder="1" applyAlignment="1">
      <alignment vertical="center"/>
    </xf>
    <xf numFmtId="165" fontId="49" fillId="0" borderId="12" xfId="28" applyFont="1" applyBorder="1" applyAlignment="1">
      <alignment vertical="center"/>
    </xf>
    <xf numFmtId="165" fontId="49" fillId="0" borderId="12" xfId="28" applyFont="1" applyBorder="1" applyAlignment="1">
      <alignment horizontal="center" vertical="center"/>
    </xf>
    <xf numFmtId="166" fontId="49" fillId="0" borderId="12" xfId="28" applyNumberFormat="1" applyFont="1" applyBorder="1" applyAlignment="1">
      <alignment horizontal="center" vertical="center"/>
    </xf>
    <xf numFmtId="165" fontId="49" fillId="0" borderId="12" xfId="0" applyNumberFormat="1" applyFont="1" applyBorder="1" applyAlignment="1">
      <alignment vertical="center"/>
    </xf>
    <xf numFmtId="166" fontId="49" fillId="0" borderId="12" xfId="28" applyNumberFormat="1" applyFont="1" applyBorder="1" applyAlignment="1">
      <alignment vertical="center"/>
    </xf>
    <xf numFmtId="166"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7" fontId="49" fillId="0" borderId="13" xfId="28" applyNumberFormat="1" applyFont="1" applyBorder="1" applyAlignment="1">
      <alignment vertical="center"/>
    </xf>
    <xf numFmtId="165" fontId="49" fillId="33" borderId="13" xfId="28" applyFont="1" applyFill="1" applyBorder="1" applyAlignment="1">
      <alignment vertical="center"/>
    </xf>
    <xf numFmtId="166" fontId="49" fillId="0" borderId="13" xfId="28" applyNumberFormat="1" applyFont="1" applyBorder="1" applyAlignment="1">
      <alignment vertical="center"/>
    </xf>
    <xf numFmtId="165"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165" fontId="49" fillId="0" borderId="15" xfId="0" applyNumberFormat="1" applyFont="1" applyBorder="1" applyAlignment="1">
      <alignment horizontal="center" vertical="center"/>
    </xf>
    <xf numFmtId="165" fontId="49" fillId="0" borderId="15" xfId="28" applyFont="1" applyBorder="1" applyAlignment="1">
      <alignment vertical="center"/>
    </xf>
    <xf numFmtId="166" fontId="49" fillId="0" borderId="15" xfId="28" applyNumberFormat="1" applyFont="1" applyBorder="1" applyAlignment="1">
      <alignment vertical="center"/>
    </xf>
    <xf numFmtId="167"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7" fontId="46" fillId="0" borderId="12" xfId="28" applyNumberFormat="1" applyFont="1" applyFill="1" applyBorder="1" applyAlignment="1">
      <alignment vertical="center"/>
    </xf>
    <xf numFmtId="166" fontId="46" fillId="0" borderId="12" xfId="28" applyNumberFormat="1" applyFont="1" applyFill="1" applyBorder="1" applyAlignment="1">
      <alignment vertical="center"/>
    </xf>
    <xf numFmtId="165" fontId="46" fillId="0" borderId="12" xfId="28" applyFont="1" applyFill="1" applyBorder="1" applyAlignment="1">
      <alignment horizontal="right" vertical="center"/>
    </xf>
    <xf numFmtId="165" fontId="46" fillId="0" borderId="12" xfId="28" applyFont="1" applyFill="1" applyBorder="1" applyAlignment="1">
      <alignment vertical="center"/>
    </xf>
    <xf numFmtId="166" fontId="46" fillId="0" borderId="12" xfId="0" applyNumberFormat="1" applyFont="1" applyBorder="1" applyAlignment="1">
      <alignment vertical="center"/>
    </xf>
    <xf numFmtId="167" fontId="46" fillId="0" borderId="64" xfId="0" applyNumberFormat="1" applyFont="1" applyBorder="1" applyAlignment="1">
      <alignment horizontal="center" vertical="center"/>
    </xf>
    <xf numFmtId="165" fontId="46" fillId="0" borderId="12" xfId="28" applyFont="1" applyFill="1" applyBorder="1" applyAlignment="1">
      <alignment horizontal="center" vertical="center"/>
    </xf>
    <xf numFmtId="166"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7" fontId="46" fillId="0" borderId="13" xfId="28" applyNumberFormat="1" applyFont="1" applyFill="1" applyBorder="1" applyAlignment="1">
      <alignment vertical="center"/>
    </xf>
    <xf numFmtId="166" fontId="46" fillId="33" borderId="13" xfId="28" applyNumberFormat="1" applyFont="1" applyFill="1" applyBorder="1" applyAlignment="1">
      <alignment vertical="center"/>
    </xf>
    <xf numFmtId="165" fontId="46" fillId="0" borderId="13" xfId="28" applyFont="1" applyFill="1" applyBorder="1" applyAlignment="1">
      <alignment vertical="center"/>
    </xf>
    <xf numFmtId="166" fontId="46" fillId="0" borderId="13" xfId="0" applyNumberFormat="1" applyFont="1" applyBorder="1" applyAlignment="1">
      <alignment vertical="center"/>
    </xf>
    <xf numFmtId="166" fontId="46" fillId="0" borderId="13" xfId="0" applyNumberFormat="1" applyFont="1" applyBorder="1" applyAlignment="1">
      <alignment horizontal="center" vertical="center"/>
    </xf>
    <xf numFmtId="165"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6" fontId="46" fillId="0" borderId="15" xfId="0" applyNumberFormat="1" applyFont="1" applyBorder="1" applyAlignment="1">
      <alignment horizontal="center" vertical="center"/>
    </xf>
    <xf numFmtId="0" fontId="46" fillId="0" borderId="15" xfId="0" applyFont="1" applyBorder="1" applyAlignment="1">
      <alignment vertical="center"/>
    </xf>
    <xf numFmtId="167"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165" fontId="51" fillId="0" borderId="0" xfId="0" applyNumberFormat="1" applyFont="1" applyAlignment="1">
      <alignment horizontal="center" vertical="center"/>
    </xf>
    <xf numFmtId="39" fontId="51" fillId="0" borderId="0" xfId="0" applyNumberFormat="1" applyFont="1" applyAlignment="1">
      <alignment horizontal="center" vertical="center"/>
    </xf>
    <xf numFmtId="171" fontId="51" fillId="0" borderId="0" xfId="0" applyNumberFormat="1" applyFont="1" applyAlignment="1">
      <alignment horizontal="center" vertical="center"/>
    </xf>
    <xf numFmtId="165" fontId="51" fillId="33" borderId="0" xfId="0" applyNumberFormat="1" applyFont="1" applyFill="1" applyAlignment="1">
      <alignment horizontal="center" vertical="center"/>
    </xf>
    <xf numFmtId="171" fontId="51" fillId="33" borderId="0" xfId="0" applyNumberFormat="1" applyFont="1" applyFill="1" applyAlignment="1">
      <alignment horizontal="center" vertical="center"/>
    </xf>
    <xf numFmtId="165"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165"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6" fontId="46" fillId="33" borderId="12" xfId="28" applyNumberFormat="1" applyFont="1" applyFill="1" applyBorder="1" applyAlignment="1">
      <alignment vertical="center"/>
    </xf>
    <xf numFmtId="165" fontId="49" fillId="33" borderId="12" xfId="28" applyFont="1" applyFill="1" applyBorder="1" applyAlignment="1">
      <alignment vertical="center"/>
    </xf>
    <xf numFmtId="176" fontId="54" fillId="33" borderId="0" xfId="0" applyNumberFormat="1" applyFont="1" applyFill="1" applyAlignment="1">
      <alignment horizontal="center" vertical="center"/>
    </xf>
    <xf numFmtId="165"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165" fontId="46" fillId="33" borderId="12" xfId="28" quotePrefix="1" applyFont="1" applyFill="1" applyBorder="1" applyAlignment="1">
      <alignment vertical="center"/>
    </xf>
    <xf numFmtId="165" fontId="46" fillId="33" borderId="11" xfId="28" quotePrefix="1" applyFont="1" applyFill="1" applyBorder="1" applyAlignment="1">
      <alignment vertical="center"/>
    </xf>
    <xf numFmtId="165" fontId="69" fillId="33" borderId="12" xfId="28" applyFont="1" applyFill="1" applyBorder="1" applyAlignment="1">
      <alignment vertical="center"/>
    </xf>
    <xf numFmtId="2" fontId="71" fillId="33" borderId="12" xfId="0" applyNumberFormat="1" applyFont="1" applyFill="1" applyBorder="1"/>
    <xf numFmtId="165" fontId="46" fillId="33" borderId="16" xfId="28" applyFont="1" applyFill="1" applyBorder="1" applyAlignment="1">
      <alignment vertical="center"/>
    </xf>
    <xf numFmtId="166"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80" fontId="46" fillId="33" borderId="16" xfId="0" applyNumberFormat="1" applyFont="1" applyFill="1" applyBorder="1" applyAlignment="1">
      <alignment horizontal="right" vertical="center"/>
    </xf>
    <xf numFmtId="165"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71" fontId="51" fillId="33" borderId="12" xfId="0" applyNumberFormat="1" applyFont="1" applyFill="1" applyBorder="1" applyAlignment="1">
      <alignment horizontal="center"/>
    </xf>
    <xf numFmtId="165" fontId="54" fillId="33" borderId="12" xfId="28" applyFont="1" applyFill="1" applyBorder="1" applyAlignment="1">
      <alignment vertical="center"/>
    </xf>
    <xf numFmtId="165" fontId="54" fillId="33" borderId="12" xfId="28" quotePrefix="1" applyFont="1" applyFill="1" applyBorder="1" applyAlignment="1">
      <alignment vertical="center"/>
    </xf>
    <xf numFmtId="165" fontId="54" fillId="33" borderId="11" xfId="28" quotePrefix="1" applyFont="1" applyFill="1" applyBorder="1" applyAlignment="1">
      <alignment vertical="center"/>
    </xf>
    <xf numFmtId="165" fontId="54" fillId="33" borderId="12" xfId="0" applyNumberFormat="1" applyFont="1" applyFill="1" applyBorder="1" applyAlignment="1">
      <alignment vertical="center"/>
    </xf>
    <xf numFmtId="166"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71" fontId="6" fillId="33" borderId="12" xfId="0" applyNumberFormat="1" applyFont="1" applyFill="1" applyBorder="1" applyAlignment="1">
      <alignment horizontal="center" vertical="center"/>
    </xf>
    <xf numFmtId="165" fontId="54" fillId="33" borderId="12" xfId="28" applyFont="1" applyFill="1" applyBorder="1" applyAlignment="1">
      <alignment horizontal="center" vertical="center"/>
    </xf>
    <xf numFmtId="165" fontId="54" fillId="33" borderId="12" xfId="28" quotePrefix="1" applyFont="1" applyFill="1" applyBorder="1" applyAlignment="1">
      <alignment horizontal="center" vertical="center"/>
    </xf>
    <xf numFmtId="165" fontId="54" fillId="33" borderId="11" xfId="28" quotePrefix="1" applyFont="1" applyFill="1" applyBorder="1" applyAlignment="1">
      <alignment horizontal="center" vertical="center"/>
    </xf>
    <xf numFmtId="165" fontId="54" fillId="33" borderId="12" xfId="0" applyNumberFormat="1" applyFont="1" applyFill="1" applyBorder="1" applyAlignment="1">
      <alignment horizontal="center" vertical="center"/>
    </xf>
    <xf numFmtId="176" fontId="54" fillId="33" borderId="12" xfId="0" applyNumberFormat="1" applyFont="1" applyFill="1" applyBorder="1" applyAlignment="1">
      <alignment horizontal="center" vertical="center"/>
    </xf>
    <xf numFmtId="165" fontId="70" fillId="33" borderId="12" xfId="0" applyNumberFormat="1" applyFont="1" applyFill="1" applyBorder="1" applyAlignment="1">
      <alignment vertical="center"/>
    </xf>
    <xf numFmtId="171" fontId="54" fillId="33" borderId="12" xfId="28" applyNumberFormat="1" applyFont="1" applyFill="1" applyBorder="1" applyAlignment="1">
      <alignment horizontal="center" vertical="center"/>
    </xf>
    <xf numFmtId="176" fontId="54" fillId="33" borderId="12" xfId="28" quotePrefix="1" applyNumberFormat="1" applyFont="1" applyFill="1" applyBorder="1" applyAlignment="1">
      <alignment horizontal="center" vertical="center"/>
    </xf>
    <xf numFmtId="176" fontId="54" fillId="33" borderId="12" xfId="28" applyNumberFormat="1" applyFont="1" applyFill="1" applyBorder="1" applyAlignment="1">
      <alignment horizontal="center" vertical="center"/>
    </xf>
    <xf numFmtId="165" fontId="70" fillId="33" borderId="12" xfId="0" applyNumberFormat="1" applyFont="1" applyFill="1" applyBorder="1" applyAlignment="1">
      <alignment horizontal="center" vertical="center"/>
    </xf>
    <xf numFmtId="171" fontId="51" fillId="33" borderId="11" xfId="0" applyNumberFormat="1" applyFont="1" applyFill="1" applyBorder="1" applyAlignment="1">
      <alignment horizontal="center"/>
    </xf>
    <xf numFmtId="165" fontId="46" fillId="33" borderId="0" xfId="28" applyFont="1" applyFill="1" applyBorder="1" applyAlignment="1">
      <alignment vertical="center"/>
    </xf>
    <xf numFmtId="165" fontId="46" fillId="33" borderId="0" xfId="0" applyNumberFormat="1" applyFont="1" applyFill="1" applyAlignment="1">
      <alignment vertical="center"/>
    </xf>
    <xf numFmtId="165" fontId="47" fillId="27" borderId="11" xfId="28" applyFont="1" applyFill="1" applyBorder="1" applyAlignment="1">
      <alignment horizontal="center" vertical="center"/>
    </xf>
    <xf numFmtId="165"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71" fontId="47" fillId="27" borderId="12" xfId="0" applyNumberFormat="1" applyFont="1" applyFill="1" applyBorder="1" applyAlignment="1">
      <alignment vertical="center"/>
    </xf>
    <xf numFmtId="165" fontId="81" fillId="27" borderId="12" xfId="28" applyFont="1" applyFill="1" applyBorder="1" applyAlignment="1">
      <alignment vertical="center"/>
    </xf>
    <xf numFmtId="165"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71" fontId="81" fillId="27" borderId="12" xfId="0" applyNumberFormat="1" applyFont="1" applyFill="1" applyBorder="1" applyAlignment="1">
      <alignment horizontal="right" vertical="center"/>
    </xf>
    <xf numFmtId="171" fontId="47" fillId="27" borderId="12" xfId="0" applyNumberFormat="1" applyFont="1" applyFill="1" applyBorder="1" applyAlignment="1">
      <alignment horizontal="right" vertical="center"/>
    </xf>
    <xf numFmtId="166" fontId="81" fillId="27" borderId="12" xfId="28" applyNumberFormat="1" applyFont="1" applyFill="1" applyBorder="1" applyAlignment="1">
      <alignment horizontal="center" vertical="center"/>
    </xf>
    <xf numFmtId="166" fontId="81" fillId="27" borderId="12" xfId="28" quotePrefix="1" applyNumberFormat="1" applyFont="1" applyFill="1" applyBorder="1" applyAlignment="1">
      <alignment horizontal="center" vertical="center"/>
    </xf>
    <xf numFmtId="166" fontId="81" fillId="27" borderId="11" xfId="28" quotePrefix="1" applyNumberFormat="1" applyFont="1" applyFill="1" applyBorder="1" applyAlignment="1">
      <alignment horizontal="center" vertical="center"/>
    </xf>
    <xf numFmtId="166" fontId="81" fillId="27" borderId="12" xfId="0" applyNumberFormat="1" applyFont="1" applyFill="1" applyBorder="1" applyAlignment="1">
      <alignment horizontal="center" vertical="center"/>
    </xf>
    <xf numFmtId="165" fontId="47" fillId="33" borderId="97" xfId="28" applyFont="1" applyFill="1" applyBorder="1" applyAlignment="1">
      <alignment horizontal="center" vertical="center"/>
    </xf>
    <xf numFmtId="165"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71" fontId="47" fillId="33" borderId="97" xfId="0" applyNumberFormat="1" applyFont="1" applyFill="1" applyBorder="1" applyAlignment="1">
      <alignment vertical="center"/>
    </xf>
    <xf numFmtId="165" fontId="81" fillId="33" borderId="97" xfId="28" applyFont="1" applyFill="1" applyBorder="1" applyAlignment="1">
      <alignment vertical="center"/>
    </xf>
    <xf numFmtId="171" fontId="54" fillId="33" borderId="0" xfId="28" applyNumberFormat="1" applyFont="1" applyFill="1" applyBorder="1" applyAlignment="1">
      <alignment horizontal="center" vertical="center"/>
    </xf>
    <xf numFmtId="165" fontId="81" fillId="33" borderId="97" xfId="28" applyFont="1" applyFill="1" applyBorder="1" applyAlignment="1">
      <alignment horizontal="center" vertical="center"/>
    </xf>
    <xf numFmtId="165" fontId="81" fillId="33" borderId="97" xfId="28" quotePrefix="1" applyFont="1" applyFill="1" applyBorder="1" applyAlignment="1">
      <alignment horizontal="center" vertical="center"/>
    </xf>
    <xf numFmtId="176" fontId="54" fillId="33" borderId="0" xfId="28" quotePrefix="1" applyNumberFormat="1" applyFont="1" applyFill="1" applyBorder="1" applyAlignment="1">
      <alignment horizontal="center" vertical="center"/>
    </xf>
    <xf numFmtId="165" fontId="81" fillId="33" borderId="97" xfId="0" applyNumberFormat="1" applyFont="1" applyFill="1" applyBorder="1" applyAlignment="1">
      <alignment horizontal="center" vertical="center"/>
    </xf>
    <xf numFmtId="176"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71" fontId="81" fillId="33" borderId="97" xfId="0" applyNumberFormat="1" applyFont="1" applyFill="1" applyBorder="1" applyAlignment="1">
      <alignment horizontal="right" vertical="center"/>
    </xf>
    <xf numFmtId="171"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165" fontId="88" fillId="27" borderId="0" xfId="0" applyNumberFormat="1" applyFont="1" applyFill="1" applyAlignment="1">
      <alignment horizontal="center" vertical="center"/>
    </xf>
    <xf numFmtId="166" fontId="47" fillId="33" borderId="80" xfId="0" applyNumberFormat="1" applyFont="1" applyFill="1" applyBorder="1" applyAlignment="1">
      <alignment horizontal="center" vertical="center" wrapText="1"/>
    </xf>
    <xf numFmtId="165" fontId="51" fillId="0" borderId="97" xfId="0" applyNumberFormat="1" applyFont="1" applyBorder="1" applyAlignment="1">
      <alignment horizontal="center" vertical="center"/>
    </xf>
    <xf numFmtId="165"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71"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165"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71" fontId="46" fillId="33" borderId="0" xfId="40" applyNumberFormat="1" applyFont="1" applyFill="1" applyAlignment="1">
      <alignment horizontal="center"/>
    </xf>
    <xf numFmtId="181" fontId="46" fillId="0" borderId="0" xfId="40" applyNumberFormat="1" applyFont="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3" xfId="51" xr:uid="{00000000-0005-0000-0000-00001F000000}"/>
    <cellStyle name="Comma [0] 4" xfId="58" xr:uid="{00000000-0005-0000-0000-000020000000}"/>
    <cellStyle name="Comma [0] 5" xfId="64" xr:uid="{00000000-0005-0000-0000-000021000000}"/>
    <cellStyle name="Comma [0] 6" xfId="68" xr:uid="{00000000-0005-0000-0000-000022000000}"/>
    <cellStyle name="Comma [0] 7" xfId="71" xr:uid="{00000000-0005-0000-0000-000023000000}"/>
    <cellStyle name="Comma [0] 8" xfId="75" xr:uid="{00000000-0005-0000-0000-000024000000}"/>
    <cellStyle name="Comma [0] 9" xfId="83" xr:uid="{00000000-0005-0000-0000-000025000000}"/>
    <cellStyle name="Comma 10" xfId="59" xr:uid="{00000000-0005-0000-0000-000026000000}"/>
    <cellStyle name="Comma 11" xfId="60" xr:uid="{00000000-0005-0000-0000-000027000000}"/>
    <cellStyle name="Comma 12" xfId="62" xr:uid="{00000000-0005-0000-0000-000028000000}"/>
    <cellStyle name="Comma 13" xfId="63" xr:uid="{00000000-0005-0000-0000-000029000000}"/>
    <cellStyle name="Comma 14" xfId="65" xr:uid="{00000000-0005-0000-0000-00002A000000}"/>
    <cellStyle name="Comma 15" xfId="66" xr:uid="{00000000-0005-0000-0000-00002B000000}"/>
    <cellStyle name="Comma 16" xfId="67" xr:uid="{00000000-0005-0000-0000-00002C000000}"/>
    <cellStyle name="Comma 17" xfId="69" xr:uid="{00000000-0005-0000-0000-00002D000000}"/>
    <cellStyle name="Comma 18" xfId="70" xr:uid="{00000000-0005-0000-0000-00002E000000}"/>
    <cellStyle name="Comma 19" xfId="72" xr:uid="{00000000-0005-0000-0000-00002F000000}"/>
    <cellStyle name="Comma 2" xfId="48" xr:uid="{00000000-0005-0000-0000-000030000000}"/>
    <cellStyle name="Comma 20" xfId="73" xr:uid="{00000000-0005-0000-0000-000031000000}"/>
    <cellStyle name="Comma 21" xfId="74" xr:uid="{00000000-0005-0000-0000-000032000000}"/>
    <cellStyle name="Comma 22" xfId="76" xr:uid="{00000000-0005-0000-0000-000033000000}"/>
    <cellStyle name="Comma 23" xfId="77" xr:uid="{00000000-0005-0000-0000-000034000000}"/>
    <cellStyle name="Comma 24" xfId="78" xr:uid="{00000000-0005-0000-0000-000035000000}"/>
    <cellStyle name="Comma 25" xfId="79" xr:uid="{00000000-0005-0000-0000-000036000000}"/>
    <cellStyle name="Comma 26" xfId="80" xr:uid="{00000000-0005-0000-0000-000037000000}"/>
    <cellStyle name="Comma 27" xfId="81" xr:uid="{00000000-0005-0000-0000-000038000000}"/>
    <cellStyle name="Comma 28" xfId="82" xr:uid="{00000000-0005-0000-0000-000039000000}"/>
    <cellStyle name="Comma 29" xfId="84" xr:uid="{00000000-0005-0000-0000-00003A000000}"/>
    <cellStyle name="Comma 3" xfId="49" xr:uid="{00000000-0005-0000-0000-00003B000000}"/>
    <cellStyle name="Comma 30" xfId="85" xr:uid="{00000000-0005-0000-0000-00003C000000}"/>
    <cellStyle name="Comma 31" xfId="86" xr:uid="{00000000-0005-0000-0000-00003D000000}"/>
    <cellStyle name="Comma 32" xfId="87" xr:uid="{00000000-0005-0000-0000-00003E000000}"/>
    <cellStyle name="Comma 4" xfId="50" xr:uid="{00000000-0005-0000-0000-00003F000000}"/>
    <cellStyle name="Comma 5" xfId="53" xr:uid="{00000000-0005-0000-0000-000040000000}"/>
    <cellStyle name="Comma 6" xfId="54" xr:uid="{00000000-0005-0000-0000-000041000000}"/>
    <cellStyle name="Comma 7" xfId="55" xr:uid="{00000000-0005-0000-0000-000042000000}"/>
    <cellStyle name="Comma 8" xfId="56" xr:uid="{00000000-0005-0000-0000-000043000000}"/>
    <cellStyle name="Comma 9" xfId="57" xr:uid="{00000000-0005-0000-0000-000044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4C000000}"/>
    <cellStyle name="Input" xfId="37" builtinId="20" customBuiltin="1"/>
    <cellStyle name="Linked Cell" xfId="38" builtinId="24" customBuiltin="1"/>
    <cellStyle name="Neutral" xfId="39" builtinId="28" customBuiltin="1"/>
    <cellStyle name="Normal" xfId="0" builtinId="0"/>
    <cellStyle name="Normal 2" xfId="40" xr:uid="{00000000-0005-0000-0000-000051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1552</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52412544"/>
        <c:axId val="152414848"/>
      </c:lineChart>
      <c:catAx>
        <c:axId val="15241254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2414848"/>
        <c:crosses val="autoZero"/>
        <c:auto val="0"/>
        <c:lblAlgn val="ctr"/>
        <c:lblOffset val="100"/>
        <c:tickLblSkip val="1"/>
        <c:tickMarkSkip val="1"/>
        <c:noMultiLvlLbl val="0"/>
      </c:catAx>
      <c:valAx>
        <c:axId val="15241484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241254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24808576"/>
        <c:axId val="125002880"/>
      </c:lineChart>
      <c:catAx>
        <c:axId val="1248085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25002880"/>
        <c:crosses val="autoZero"/>
        <c:auto val="0"/>
        <c:lblAlgn val="ctr"/>
        <c:lblOffset val="100"/>
        <c:tickLblSkip val="1"/>
        <c:tickMarkSkip val="1"/>
        <c:noMultiLvlLbl val="0"/>
      </c:catAx>
      <c:valAx>
        <c:axId val="12500288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2480857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0640128"/>
        <c:axId val="150641664"/>
      </c:lineChart>
      <c:catAx>
        <c:axId val="15064012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0641664"/>
        <c:crosses val="autoZero"/>
        <c:auto val="0"/>
        <c:lblAlgn val="ctr"/>
        <c:lblOffset val="100"/>
        <c:tickLblSkip val="1"/>
        <c:tickMarkSkip val="1"/>
        <c:noMultiLvlLbl val="0"/>
      </c:catAx>
      <c:valAx>
        <c:axId val="15064166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064012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0917888"/>
        <c:axId val="150919424"/>
      </c:lineChart>
      <c:catAx>
        <c:axId val="15091788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0919424"/>
        <c:crosses val="autoZero"/>
        <c:auto val="1"/>
        <c:lblAlgn val="ctr"/>
        <c:lblOffset val="100"/>
        <c:noMultiLvlLbl val="0"/>
      </c:catAx>
      <c:valAx>
        <c:axId val="15091942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091788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1062016"/>
        <c:axId val="151063936"/>
      </c:barChart>
      <c:catAx>
        <c:axId val="15106201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1063936"/>
        <c:crossesAt val="0"/>
        <c:auto val="0"/>
        <c:lblAlgn val="ctr"/>
        <c:lblOffset val="100"/>
        <c:tickLblSkip val="1"/>
        <c:tickMarkSkip val="1"/>
        <c:noMultiLvlLbl val="0"/>
      </c:catAx>
      <c:valAx>
        <c:axId val="15106393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106201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1517.22</c:v>
                </c:pt>
                <c:pt idx="62">
                  <c:v>1537.66</c:v>
                </c:pt>
                <c:pt idx="63">
                  <c:v>1576.71</c:v>
                </c:pt>
                <c:pt idx="64">
                  <c:v>1614.05</c:v>
                </c:pt>
                <c:pt idx="65">
                  <c:v>1601.39</c:v>
                </c:pt>
                <c:pt idx="66">
                  <c:v>1597.18</c:v>
                </c:pt>
                <c:pt idx="67">
                  <c:v>1590.37</c:v>
                </c:pt>
                <c:pt idx="68">
                  <c:v>1572.99</c:v>
                </c:pt>
                <c:pt idx="69">
                  <c:v>1557.11</c:v>
                </c:pt>
                <c:pt idx="70">
                  <c:v>1557.52</c:v>
                </c:pt>
                <c:pt idx="71">
                  <c:v>1555.49</c:v>
                </c:pt>
                <c:pt idx="72">
                  <c:v>1553.68</c:v>
                </c:pt>
                <c:pt idx="73">
                  <c:v>1546.56</c:v>
                </c:pt>
                <c:pt idx="74">
                  <c:v>1539.58</c:v>
                </c:pt>
                <c:pt idx="75">
                  <c:v>1533.54</c:v>
                </c:pt>
                <c:pt idx="76">
                  <c:v>1533.83</c:v>
                </c:pt>
                <c:pt idx="77">
                  <c:v>1533.28</c:v>
                </c:pt>
                <c:pt idx="78">
                  <c:v>1531.06</c:v>
                </c:pt>
                <c:pt idx="79">
                  <c:v>1529.67</c:v>
                </c:pt>
                <c:pt idx="80">
                  <c:v>1535.57</c:v>
                </c:pt>
                <c:pt idx="81">
                  <c:v>1536.02</c:v>
                </c:pt>
                <c:pt idx="82">
                  <c:v>1539.87</c:v>
                </c:pt>
                <c:pt idx="83">
                  <c:v>1559.48</c:v>
                </c:pt>
                <c:pt idx="84">
                  <c:v>1564.87</c:v>
                </c:pt>
                <c:pt idx="85">
                  <c:v>1566.35</c:v>
                </c:pt>
                <c:pt idx="86">
                  <c:v>1568</c:v>
                </c:pt>
                <c:pt idx="87">
                  <c:v>1576.61</c:v>
                </c:pt>
                <c:pt idx="91">
                  <c:v>1579.86</c:v>
                </c:pt>
                <c:pt idx="92">
                  <c:v>1591.91</c:v>
                </c:pt>
                <c:pt idx="93">
                  <c:v>1599.95</c:v>
                </c:pt>
                <c:pt idx="94">
                  <c:v>1592.39</c:v>
                </c:pt>
                <c:pt idx="95">
                  <c:v>1590.24</c:v>
                </c:pt>
                <c:pt idx="96">
                  <c:v>1593.86</c:v>
                </c:pt>
                <c:pt idx="97">
                  <c:v>1609.79</c:v>
                </c:pt>
                <c:pt idx="98">
                  <c:v>1610.88</c:v>
                </c:pt>
                <c:pt idx="99">
                  <c:v>1610.7</c:v>
                </c:pt>
                <c:pt idx="100">
                  <c:v>1603.66</c:v>
                </c:pt>
                <c:pt idx="101">
                  <c:v>1601.65</c:v>
                </c:pt>
                <c:pt idx="102">
                  <c:v>1598.33</c:v>
                </c:pt>
                <c:pt idx="103">
                  <c:v>1588.47</c:v>
                </c:pt>
                <c:pt idx="104">
                  <c:v>1585.34</c:v>
                </c:pt>
                <c:pt idx="105">
                  <c:v>1577.42</c:v>
                </c:pt>
                <c:pt idx="106">
                  <c:v>1610.7</c:v>
                </c:pt>
                <c:pt idx="107">
                  <c:v>1603.66</c:v>
                </c:pt>
                <c:pt idx="108">
                  <c:v>1601.65</c:v>
                </c:pt>
                <c:pt idx="109">
                  <c:v>1598.33</c:v>
                </c:pt>
                <c:pt idx="110">
                  <c:v>1588.47</c:v>
                </c:pt>
                <c:pt idx="111">
                  <c:v>1585.34</c:v>
                </c:pt>
                <c:pt idx="112">
                  <c:v>1577.42</c:v>
                </c:pt>
                <c:pt idx="113">
                  <c:v>1547.9</c:v>
                </c:pt>
                <c:pt idx="114">
                  <c:v>1543.19</c:v>
                </c:pt>
                <c:pt idx="115">
                  <c:v>1537.59</c:v>
                </c:pt>
                <c:pt idx="116">
                  <c:v>1532.73</c:v>
                </c:pt>
                <c:pt idx="117">
                  <c:v>1528.02</c:v>
                </c:pt>
                <c:pt idx="118">
                  <c:v>1523.79</c:v>
                </c:pt>
                <c:pt idx="119">
                  <c:v>1552</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51086208"/>
        <c:axId val="151087744"/>
      </c:lineChart>
      <c:dateAx>
        <c:axId val="15108620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1087744"/>
        <c:crosses val="autoZero"/>
        <c:auto val="0"/>
        <c:lblOffset val="100"/>
        <c:baseTimeUnit val="days"/>
        <c:majorUnit val="1"/>
        <c:majorTimeUnit val="months"/>
        <c:minorUnit val="1"/>
        <c:minorTimeUnit val="months"/>
      </c:dateAx>
      <c:valAx>
        <c:axId val="15108774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108620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1118976"/>
        <c:axId val="15112089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1118976"/>
        <c:axId val="151120896"/>
      </c:lineChart>
      <c:catAx>
        <c:axId val="151118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1120896"/>
        <c:crosses val="autoZero"/>
        <c:auto val="0"/>
        <c:lblAlgn val="ctr"/>
        <c:lblOffset val="100"/>
        <c:tickLblSkip val="1"/>
        <c:tickMarkSkip val="1"/>
        <c:noMultiLvlLbl val="0"/>
      </c:catAx>
      <c:valAx>
        <c:axId val="15112089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111897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31.143999999999998</c:v>
                </c:pt>
                <c:pt idx="1">
                  <c:v>29.640999999999998</c:v>
                </c:pt>
                <c:pt idx="2">
                  <c:v>29.623000000000001</c:v>
                </c:pt>
                <c:pt idx="3">
                  <c:v>580.92600000000004</c:v>
                </c:pt>
                <c:pt idx="4">
                  <c:v>366.13600000000002</c:v>
                </c:pt>
                <c:pt idx="5">
                  <c:v>29.43</c:v>
                </c:pt>
                <c:pt idx="6">
                  <c:v>377.56</c:v>
                </c:pt>
                <c:pt idx="7">
                  <c:v>6.5439999999999996</c:v>
                </c:pt>
                <c:pt idx="8">
                  <c:v>10.34</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27.443999999999999</c:v>
                </c:pt>
                <c:pt idx="1">
                  <c:v>44.915999999999997</c:v>
                </c:pt>
                <c:pt idx="2">
                  <c:v>32.317999999999998</c:v>
                </c:pt>
                <c:pt idx="3">
                  <c:v>647.80700000000002</c:v>
                </c:pt>
                <c:pt idx="4">
                  <c:v>363.98</c:v>
                </c:pt>
                <c:pt idx="5">
                  <c:v>22.79</c:v>
                </c:pt>
                <c:pt idx="6">
                  <c:v>297.42</c:v>
                </c:pt>
                <c:pt idx="7">
                  <c:v>8.5619999999999994</c:v>
                </c:pt>
                <c:pt idx="8">
                  <c:v>11.03</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1183744"/>
        <c:axId val="15118566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55.12</c:v>
                </c:pt>
                <c:pt idx="1">
                  <c:v>76.86</c:v>
                </c:pt>
                <c:pt idx="2">
                  <c:v>462.2</c:v>
                </c:pt>
                <c:pt idx="3">
                  <c:v>89.28</c:v>
                </c:pt>
                <c:pt idx="4">
                  <c:v>135.96</c:v>
                </c:pt>
                <c:pt idx="5">
                  <c:v>65.91</c:v>
                </c:pt>
                <c:pt idx="6">
                  <c:v>175.79</c:v>
                </c:pt>
                <c:pt idx="7">
                  <c:v>229.61</c:v>
                </c:pt>
                <c:pt idx="8">
                  <c:v>149.41</c:v>
                </c:pt>
              </c:numCache>
            </c:numRef>
          </c:cat>
          <c:val>
            <c:numRef>
              <c:f>'RINCI 1'!$F$9:$F$17</c:f>
              <c:numCache>
                <c:formatCode>_(* #,##0.00_);_(* \(#,##0.00\);_(* "-"??_);_(@_)</c:formatCode>
                <c:ptCount val="9"/>
                <c:pt idx="0">
                  <c:v>55.77</c:v>
                </c:pt>
                <c:pt idx="1">
                  <c:v>74.11</c:v>
                </c:pt>
                <c:pt idx="2">
                  <c:v>462.04</c:v>
                </c:pt>
                <c:pt idx="3">
                  <c:v>87.8</c:v>
                </c:pt>
                <c:pt idx="4">
                  <c:v>136</c:v>
                </c:pt>
                <c:pt idx="5">
                  <c:v>69.33</c:v>
                </c:pt>
                <c:pt idx="6">
                  <c:v>183.92</c:v>
                </c:pt>
                <c:pt idx="7">
                  <c:v>229.2</c:v>
                </c:pt>
                <c:pt idx="8">
                  <c:v>149.24</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55.12</c:v>
                </c:pt>
                <c:pt idx="1">
                  <c:v>76.86</c:v>
                </c:pt>
                <c:pt idx="2">
                  <c:v>462.2</c:v>
                </c:pt>
                <c:pt idx="3">
                  <c:v>89.28</c:v>
                </c:pt>
                <c:pt idx="4">
                  <c:v>135.96</c:v>
                </c:pt>
                <c:pt idx="5">
                  <c:v>65.91</c:v>
                </c:pt>
                <c:pt idx="6">
                  <c:v>175.79</c:v>
                </c:pt>
                <c:pt idx="7">
                  <c:v>229.61</c:v>
                </c:pt>
                <c:pt idx="8">
                  <c:v>149.41</c:v>
                </c:pt>
              </c:numCache>
            </c:numRef>
          </c:cat>
          <c:val>
            <c:numRef>
              <c:f>'RINCI 1'!$G$9:$G$17</c:f>
              <c:numCache>
                <c:formatCode>_(* #,##0.00_);_(* \(#,##0.00\);_(* "-"??_);_(@_)</c:formatCode>
                <c:ptCount val="9"/>
                <c:pt idx="0">
                  <c:v>55.12</c:v>
                </c:pt>
                <c:pt idx="1">
                  <c:v>76.86</c:v>
                </c:pt>
                <c:pt idx="2">
                  <c:v>462.2</c:v>
                </c:pt>
                <c:pt idx="3">
                  <c:v>89.28</c:v>
                </c:pt>
                <c:pt idx="4">
                  <c:v>135.96</c:v>
                </c:pt>
                <c:pt idx="5">
                  <c:v>65.91</c:v>
                </c:pt>
                <c:pt idx="6">
                  <c:v>175.79</c:v>
                </c:pt>
                <c:pt idx="7">
                  <c:v>229.61</c:v>
                </c:pt>
                <c:pt idx="8">
                  <c:v>149.41</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1187840"/>
        <c:axId val="151189760"/>
      </c:lineChart>
      <c:catAx>
        <c:axId val="15118374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1185664"/>
        <c:crossesAt val="10"/>
        <c:auto val="0"/>
        <c:lblAlgn val="ctr"/>
        <c:lblOffset val="100"/>
        <c:tickLblSkip val="1"/>
        <c:tickMarkSkip val="1"/>
        <c:noMultiLvlLbl val="0"/>
      </c:catAx>
      <c:valAx>
        <c:axId val="15118566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1183744"/>
        <c:crosses val="autoZero"/>
        <c:crossBetween val="between"/>
        <c:majorUnit val="50"/>
      </c:valAx>
      <c:catAx>
        <c:axId val="15118784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1189760"/>
        <c:crosses val="autoZero"/>
        <c:auto val="0"/>
        <c:lblAlgn val="ctr"/>
        <c:lblOffset val="100"/>
        <c:noMultiLvlLbl val="0"/>
      </c:catAx>
      <c:valAx>
        <c:axId val="15118976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18784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0.622</c:v>
                </c:pt>
                <c:pt idx="1">
                  <c:v>0.68300000000000005</c:v>
                </c:pt>
                <c:pt idx="2">
                  <c:v>0.45800000000000002</c:v>
                </c:pt>
                <c:pt idx="3">
                  <c:v>2.472</c:v>
                </c:pt>
                <c:pt idx="4">
                  <c:v>7.5999999999999998E-2</c:v>
                </c:pt>
                <c:pt idx="5">
                  <c:v>9.7000000000000003E-2</c:v>
                </c:pt>
                <c:pt idx="6">
                  <c:v>6.782</c:v>
                </c:pt>
                <c:pt idx="7">
                  <c:v>1.8240000000000001</c:v>
                </c:pt>
                <c:pt idx="8">
                  <c:v>3.2050000000000001</c:v>
                </c:pt>
                <c:pt idx="9">
                  <c:v>2.371</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1293952"/>
        <c:axId val="15129548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0.51400000000000001</c:v>
                </c:pt>
                <c:pt idx="1">
                  <c:v>0.68300000000000005</c:v>
                </c:pt>
                <c:pt idx="2">
                  <c:v>0.46800000000000003</c:v>
                </c:pt>
                <c:pt idx="3">
                  <c:v>2.7770000000000001</c:v>
                </c:pt>
                <c:pt idx="4">
                  <c:v>7.8E-2</c:v>
                </c:pt>
                <c:pt idx="5">
                  <c:v>7.5999999999999998E-2</c:v>
                </c:pt>
                <c:pt idx="6">
                  <c:v>8.3780000000000001</c:v>
                </c:pt>
                <c:pt idx="7">
                  <c:v>2.468</c:v>
                </c:pt>
                <c:pt idx="8">
                  <c:v>3.83</c:v>
                </c:pt>
                <c:pt idx="9">
                  <c:v>2.6930000000000001</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1297408"/>
        <c:axId val="151299200"/>
      </c:lineChart>
      <c:catAx>
        <c:axId val="15129395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1295488"/>
        <c:crosses val="autoZero"/>
        <c:auto val="1"/>
        <c:lblAlgn val="ctr"/>
        <c:lblOffset val="100"/>
        <c:tickMarkSkip val="1"/>
        <c:noMultiLvlLbl val="0"/>
      </c:catAx>
      <c:valAx>
        <c:axId val="15129548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293952"/>
        <c:crosses val="autoZero"/>
        <c:crossBetween val="between"/>
        <c:majorUnit val="0.5"/>
      </c:valAx>
      <c:catAx>
        <c:axId val="151297408"/>
        <c:scaling>
          <c:orientation val="minMax"/>
        </c:scaling>
        <c:delete val="1"/>
        <c:axPos val="b"/>
        <c:numFmt formatCode="General" sourceLinked="1"/>
        <c:majorTickMark val="out"/>
        <c:minorTickMark val="none"/>
        <c:tickLblPos val="nextTo"/>
        <c:crossAx val="151299200"/>
        <c:crosses val="autoZero"/>
        <c:auto val="1"/>
        <c:lblAlgn val="ctr"/>
        <c:lblOffset val="100"/>
        <c:noMultiLvlLbl val="0"/>
      </c:catAx>
      <c:valAx>
        <c:axId val="15129920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129740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325.3</c:v>
                </c:pt>
                <c:pt idx="1">
                  <c:v>129</c:v>
                </c:pt>
                <c:pt idx="2">
                  <c:v>282.7</c:v>
                </c:pt>
                <c:pt idx="3">
                  <c:v>98.43</c:v>
                </c:pt>
                <c:pt idx="4">
                  <c:v>189.5</c:v>
                </c:pt>
                <c:pt idx="5">
                  <c:v>171.2</c:v>
                </c:pt>
                <c:pt idx="6">
                  <c:v>139.44999999999999</c:v>
                </c:pt>
                <c:pt idx="7">
                  <c:v>237.93</c:v>
                </c:pt>
                <c:pt idx="8">
                  <c:v>120.25</c:v>
                </c:pt>
                <c:pt idx="9">
                  <c:v>110.36</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324.16000000000003</c:v>
                </c:pt>
                <c:pt idx="1">
                  <c:v>129.02000000000001</c:v>
                </c:pt>
                <c:pt idx="2">
                  <c:v>282.82</c:v>
                </c:pt>
                <c:pt idx="3">
                  <c:v>98.84</c:v>
                </c:pt>
                <c:pt idx="4">
                  <c:v>189.61</c:v>
                </c:pt>
                <c:pt idx="5">
                  <c:v>170.34</c:v>
                </c:pt>
                <c:pt idx="6">
                  <c:v>140.04</c:v>
                </c:pt>
                <c:pt idx="7">
                  <c:v>239.1</c:v>
                </c:pt>
                <c:pt idx="8">
                  <c:v>120.58</c:v>
                </c:pt>
                <c:pt idx="9">
                  <c:v>110.53</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1399808"/>
        <c:axId val="151401600"/>
      </c:barChart>
      <c:catAx>
        <c:axId val="15139980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1401600"/>
        <c:crossesAt val="0"/>
        <c:auto val="0"/>
        <c:lblAlgn val="ctr"/>
        <c:lblOffset val="100"/>
        <c:tickLblSkip val="1"/>
        <c:tickMarkSkip val="1"/>
        <c:noMultiLvlLbl val="0"/>
      </c:catAx>
      <c:valAx>
        <c:axId val="15140160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139980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27.443999999999999</c:v>
                </c:pt>
                <c:pt idx="1">
                  <c:v>44.915999999999997</c:v>
                </c:pt>
                <c:pt idx="2">
                  <c:v>32.317999999999998</c:v>
                </c:pt>
                <c:pt idx="3">
                  <c:v>647.80700000000002</c:v>
                </c:pt>
                <c:pt idx="4">
                  <c:v>363.98</c:v>
                </c:pt>
                <c:pt idx="5">
                  <c:v>22.79</c:v>
                </c:pt>
                <c:pt idx="6">
                  <c:v>297.42</c:v>
                </c:pt>
                <c:pt idx="7">
                  <c:v>8.5619999999999994</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1594496"/>
        <c:axId val="151596032"/>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27.443999999999999</c:v>
                </c:pt>
                <c:pt idx="1">
                  <c:v>44.915999999999997</c:v>
                </c:pt>
                <c:pt idx="2">
                  <c:v>32.317999999999998</c:v>
                </c:pt>
                <c:pt idx="3">
                  <c:v>647.80700000000002</c:v>
                </c:pt>
                <c:pt idx="4">
                  <c:v>363.98</c:v>
                </c:pt>
                <c:pt idx="5">
                  <c:v>22.79</c:v>
                </c:pt>
                <c:pt idx="6">
                  <c:v>297.42</c:v>
                </c:pt>
                <c:pt idx="7">
                  <c:v>8.5619999999999994</c:v>
                </c:pt>
              </c:numCache>
            </c:numRef>
          </c:cat>
          <c:val>
            <c:numRef>
              <c:f>'RINCI 1'!$F$9:$F$16</c:f>
              <c:numCache>
                <c:formatCode>_(* #,##0.00_);_(* \(#,##0.00\);_(* "-"??_);_(@_)</c:formatCode>
                <c:ptCount val="8"/>
                <c:pt idx="0">
                  <c:v>55.77</c:v>
                </c:pt>
                <c:pt idx="1">
                  <c:v>74.11</c:v>
                </c:pt>
                <c:pt idx="2">
                  <c:v>462.04</c:v>
                </c:pt>
                <c:pt idx="3">
                  <c:v>87.8</c:v>
                </c:pt>
                <c:pt idx="4">
                  <c:v>136</c:v>
                </c:pt>
                <c:pt idx="5">
                  <c:v>69.33</c:v>
                </c:pt>
                <c:pt idx="6">
                  <c:v>183.92</c:v>
                </c:pt>
                <c:pt idx="7">
                  <c:v>229.2</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27.443999999999999</c:v>
                </c:pt>
                <c:pt idx="1">
                  <c:v>44.915999999999997</c:v>
                </c:pt>
                <c:pt idx="2">
                  <c:v>32.317999999999998</c:v>
                </c:pt>
                <c:pt idx="3">
                  <c:v>647.80700000000002</c:v>
                </c:pt>
                <c:pt idx="4">
                  <c:v>363.98</c:v>
                </c:pt>
                <c:pt idx="5">
                  <c:v>22.79</c:v>
                </c:pt>
                <c:pt idx="6">
                  <c:v>297.42</c:v>
                </c:pt>
                <c:pt idx="7">
                  <c:v>8.5619999999999994</c:v>
                </c:pt>
              </c:numCache>
            </c:numRef>
          </c:cat>
          <c:val>
            <c:numRef>
              <c:f>'RINCI 1'!$G$9:$G$16</c:f>
              <c:numCache>
                <c:formatCode>_(* #,##0.00_);_(* \(#,##0.00\);_(* "-"??_);_(@_)</c:formatCode>
                <c:ptCount val="8"/>
                <c:pt idx="0">
                  <c:v>55.12</c:v>
                </c:pt>
                <c:pt idx="1">
                  <c:v>76.86</c:v>
                </c:pt>
                <c:pt idx="2">
                  <c:v>462.2</c:v>
                </c:pt>
                <c:pt idx="3">
                  <c:v>89.28</c:v>
                </c:pt>
                <c:pt idx="4">
                  <c:v>135.96</c:v>
                </c:pt>
                <c:pt idx="5">
                  <c:v>65.91</c:v>
                </c:pt>
                <c:pt idx="6">
                  <c:v>175.79</c:v>
                </c:pt>
                <c:pt idx="7">
                  <c:v>229.61</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1606400"/>
        <c:axId val="151608320"/>
      </c:lineChart>
      <c:catAx>
        <c:axId val="15159449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596032"/>
        <c:crossesAt val="10"/>
        <c:auto val="0"/>
        <c:lblAlgn val="ctr"/>
        <c:lblOffset val="100"/>
        <c:tickLblSkip val="1"/>
        <c:tickMarkSkip val="1"/>
        <c:noMultiLvlLbl val="0"/>
      </c:catAx>
      <c:valAx>
        <c:axId val="15159603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1594496"/>
        <c:crosses val="autoZero"/>
        <c:crossBetween val="between"/>
        <c:majorUnit val="100"/>
      </c:valAx>
      <c:catAx>
        <c:axId val="15160640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1608320"/>
        <c:crosses val="autoZero"/>
        <c:auto val="0"/>
        <c:lblAlgn val="ctr"/>
        <c:lblOffset val="100"/>
        <c:noMultiLvlLbl val="0"/>
      </c:catAx>
      <c:valAx>
        <c:axId val="15160832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160640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64444800"/>
        <c:axId val="169454208"/>
      </c:lineChart>
      <c:catAx>
        <c:axId val="16444480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9454208"/>
        <c:crosses val="autoZero"/>
        <c:auto val="0"/>
        <c:lblAlgn val="ctr"/>
        <c:lblOffset val="100"/>
        <c:tickLblSkip val="1"/>
        <c:tickMarkSkip val="1"/>
        <c:noMultiLvlLbl val="0"/>
      </c:catAx>
      <c:valAx>
        <c:axId val="169454208"/>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6444480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79563776"/>
        <c:axId val="79569664"/>
      </c:lineChart>
      <c:catAx>
        <c:axId val="79563776"/>
        <c:scaling>
          <c:orientation val="minMax"/>
        </c:scaling>
        <c:delete val="0"/>
        <c:axPos val="b"/>
        <c:numFmt formatCode="General" sourceLinked="0"/>
        <c:majorTickMark val="none"/>
        <c:minorTickMark val="none"/>
        <c:tickLblPos val="nextTo"/>
        <c:txPr>
          <a:bodyPr/>
          <a:lstStyle/>
          <a:p>
            <a:pPr>
              <a:defRPr lang="en-GB"/>
            </a:pPr>
            <a:endParaRPr lang="en-US"/>
          </a:p>
        </c:txPr>
        <c:crossAx val="79569664"/>
        <c:crosses val="autoZero"/>
        <c:auto val="1"/>
        <c:lblAlgn val="ctr"/>
        <c:lblOffset val="100"/>
        <c:noMultiLvlLbl val="0"/>
      </c:catAx>
      <c:valAx>
        <c:axId val="7956966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7956377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79599104"/>
        <c:axId val="79600640"/>
      </c:lineChart>
      <c:catAx>
        <c:axId val="7959910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79600640"/>
        <c:crosses val="autoZero"/>
        <c:auto val="0"/>
        <c:lblAlgn val="ctr"/>
        <c:lblOffset val="100"/>
        <c:tickLblSkip val="1"/>
        <c:tickMarkSkip val="1"/>
        <c:noMultiLvlLbl val="0"/>
      </c:catAx>
      <c:valAx>
        <c:axId val="79600640"/>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7959910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79662464"/>
        <c:axId val="79672448"/>
      </c:lineChart>
      <c:catAx>
        <c:axId val="796624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9672448"/>
        <c:crossesAt val="0"/>
        <c:auto val="0"/>
        <c:lblAlgn val="ctr"/>
        <c:lblOffset val="100"/>
        <c:tickMarkSkip val="1"/>
        <c:noMultiLvlLbl val="0"/>
      </c:catAx>
      <c:valAx>
        <c:axId val="79672448"/>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96624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79737216"/>
        <c:axId val="79738752"/>
      </c:lineChart>
      <c:catAx>
        <c:axId val="7973721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79738752"/>
        <c:crosses val="autoZero"/>
        <c:auto val="0"/>
        <c:lblAlgn val="ctr"/>
        <c:lblOffset val="100"/>
        <c:tickLblSkip val="1"/>
        <c:tickMarkSkip val="1"/>
        <c:noMultiLvlLbl val="0"/>
      </c:catAx>
      <c:valAx>
        <c:axId val="7973875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7973721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79815040"/>
        <c:axId val="79816576"/>
      </c:lineChart>
      <c:catAx>
        <c:axId val="7981504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79816576"/>
        <c:crosses val="autoZero"/>
        <c:auto val="0"/>
        <c:lblAlgn val="ctr"/>
        <c:lblOffset val="100"/>
        <c:tickLblSkip val="1"/>
        <c:tickMarkSkip val="1"/>
        <c:noMultiLvlLbl val="0"/>
      </c:catAx>
      <c:valAx>
        <c:axId val="7981657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981504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80410880"/>
        <c:axId val="123142144"/>
      </c:lineChart>
      <c:catAx>
        <c:axId val="804108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23142144"/>
        <c:crossesAt val="0"/>
        <c:auto val="0"/>
        <c:lblAlgn val="ctr"/>
        <c:lblOffset val="100"/>
        <c:tickLblSkip val="1"/>
        <c:tickMarkSkip val="1"/>
        <c:noMultiLvlLbl val="0"/>
      </c:catAx>
      <c:valAx>
        <c:axId val="12314214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0410880"/>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23183488"/>
        <c:axId val="123185024"/>
      </c:lineChart>
      <c:catAx>
        <c:axId val="123183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23185024"/>
        <c:crossesAt val="0"/>
        <c:auto val="0"/>
        <c:lblAlgn val="ctr"/>
        <c:lblOffset val="100"/>
        <c:tickMarkSkip val="1"/>
        <c:noMultiLvlLbl val="0"/>
      </c:catAx>
      <c:valAx>
        <c:axId val="12318502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2318348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53"/>
  <sheetViews>
    <sheetView showGridLines="0" view="pageBreakPreview" zoomScale="80" zoomScaleNormal="90" zoomScaleSheetLayoutView="8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1590.37</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1539.58</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v>1610.88</v>
      </c>
      <c r="M7" s="210"/>
      <c r="N7" s="663"/>
      <c r="O7" s="210">
        <v>1536.02</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v>1552</v>
      </c>
      <c r="M8" s="210"/>
      <c r="N8" s="210"/>
      <c r="O8" s="211">
        <v>1579.86</v>
      </c>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c r="M9" s="210"/>
      <c r="O9" s="210">
        <v>1610.88</v>
      </c>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c r="M10" s="210"/>
      <c r="O10" s="210">
        <v>1577.42</v>
      </c>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210">
        <v>1552</v>
      </c>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c r="P16" s="210"/>
      <c r="Q16" s="210"/>
    </row>
    <row r="18" spans="8:15" x14ac:dyDescent="0.25">
      <c r="H18" s="208" t="s">
        <v>341</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17" t="s">
        <v>288</v>
      </c>
      <c r="C2" s="817"/>
      <c r="D2" s="817"/>
      <c r="E2" s="817"/>
      <c r="F2" s="817"/>
      <c r="G2" s="817"/>
      <c r="H2" s="817"/>
      <c r="I2" s="817"/>
      <c r="J2" s="817"/>
      <c r="K2" s="817"/>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18" t="s">
        <v>284</v>
      </c>
      <c r="C3" s="818"/>
      <c r="D3" s="818"/>
      <c r="E3" s="818"/>
      <c r="F3" s="818"/>
      <c r="G3" s="818"/>
      <c r="H3" s="818"/>
      <c r="I3" s="818"/>
      <c r="J3" s="818"/>
      <c r="K3" s="818"/>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19" t="s">
        <v>16</v>
      </c>
      <c r="B3" s="819"/>
      <c r="C3" s="819"/>
      <c r="D3" s="819"/>
      <c r="E3" s="819"/>
      <c r="F3" s="819"/>
      <c r="G3" s="819"/>
      <c r="H3" s="819"/>
      <c r="I3" s="819"/>
    </row>
    <row r="4" spans="1:14" ht="21" x14ac:dyDescent="0.2">
      <c r="A4" s="819" t="s">
        <v>17</v>
      </c>
      <c r="B4" s="819"/>
      <c r="C4" s="819"/>
      <c r="D4" s="819"/>
      <c r="E4" s="819"/>
      <c r="F4" s="819"/>
      <c r="G4" s="819"/>
      <c r="H4" s="819"/>
      <c r="I4" s="819"/>
    </row>
    <row r="5" spans="1:14" ht="21" x14ac:dyDescent="0.35">
      <c r="A5" s="820" t="str">
        <f>+UTAMA!B4</f>
        <v xml:space="preserve">MINGGU KE III APRIL ( 18 APRIL S/D 24 APRIL 2023 ) dalam Juta m3  </v>
      </c>
      <c r="B5" s="820"/>
      <c r="C5" s="820"/>
      <c r="D5" s="820"/>
      <c r="E5" s="820"/>
      <c r="F5" s="820"/>
      <c r="G5" s="820"/>
      <c r="H5" s="820"/>
      <c r="I5" s="82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338.89</v>
      </c>
      <c r="F11" s="90">
        <f>+UTAMA!H12</f>
        <v>7.26</v>
      </c>
      <c r="G11" s="87">
        <f>+UTAMA!I12</f>
        <v>339.54</v>
      </c>
      <c r="H11" s="90">
        <f>+UTAMA!J12</f>
        <v>7.8</v>
      </c>
      <c r="I11" s="91">
        <v>35162</v>
      </c>
      <c r="K11" s="125"/>
      <c r="L11" s="125"/>
      <c r="M11" s="125"/>
      <c r="N11" s="92"/>
    </row>
    <row r="12" spans="1:14" ht="15.75" x14ac:dyDescent="0.25">
      <c r="A12" s="126">
        <f>+A11+1</f>
        <v>2</v>
      </c>
      <c r="B12" s="127" t="s">
        <v>29</v>
      </c>
      <c r="C12" s="93">
        <f>+UTAMA!E13</f>
        <v>77.5</v>
      </c>
      <c r="D12" s="94">
        <f>+UTAMA!F13</f>
        <v>45.13</v>
      </c>
      <c r="E12" s="95">
        <f>+UTAMA!G13</f>
        <v>74.11</v>
      </c>
      <c r="F12" s="94">
        <f>+UTAMA!H13</f>
        <v>29.640999999999998</v>
      </c>
      <c r="G12" s="93">
        <f>+UTAMA!I13</f>
        <v>76.86</v>
      </c>
      <c r="H12" s="94">
        <f>+UTAMA!J13</f>
        <v>44.915999999999997</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55.77</v>
      </c>
      <c r="F13" s="94">
        <f>+UTAMA!H11</f>
        <v>31.143999999999998</v>
      </c>
      <c r="G13" s="93">
        <f>+UTAMA!I11</f>
        <v>55.12</v>
      </c>
      <c r="H13" s="94">
        <f>+UTAMA!J11</f>
        <v>27.443999999999999</v>
      </c>
      <c r="I13" s="96">
        <v>17481</v>
      </c>
      <c r="K13" s="125"/>
      <c r="L13" s="125"/>
      <c r="M13" s="125"/>
      <c r="N13" s="92"/>
    </row>
    <row r="14" spans="1:14" ht="15.75" x14ac:dyDescent="0.25">
      <c r="A14" s="126">
        <f t="shared" si="0"/>
        <v>4</v>
      </c>
      <c r="B14" s="127" t="s">
        <v>31</v>
      </c>
      <c r="C14" s="93">
        <f>+UTAMA!E14</f>
        <v>463.3</v>
      </c>
      <c r="D14" s="94">
        <f>+UTAMA!F14</f>
        <v>49.9</v>
      </c>
      <c r="E14" s="97">
        <f>+UTAMA!H14</f>
        <v>29.623000000000001</v>
      </c>
      <c r="F14" s="94">
        <f>+UTAMA!H14</f>
        <v>29.623000000000001</v>
      </c>
      <c r="G14" s="93">
        <f>+UTAMA!I14</f>
        <v>462.2</v>
      </c>
      <c r="H14" s="94">
        <f>+UTAMA!J14</f>
        <v>32.317999999999998</v>
      </c>
      <c r="I14" s="96">
        <v>19972</v>
      </c>
      <c r="K14" s="125"/>
      <c r="L14" s="125"/>
      <c r="M14" s="125"/>
      <c r="N14" s="92"/>
    </row>
    <row r="15" spans="1:14" ht="15.75" x14ac:dyDescent="0.25">
      <c r="A15" s="126">
        <f t="shared" si="0"/>
        <v>5</v>
      </c>
      <c r="B15" s="127" t="s">
        <v>32</v>
      </c>
      <c r="C15" s="93">
        <f>+UTAMA!E15</f>
        <v>207</v>
      </c>
      <c r="D15" s="94">
        <f>+UTAMA!F15</f>
        <v>9.5030000000000001</v>
      </c>
      <c r="E15" s="97">
        <f>+UTAMA!H15</f>
        <v>8.2189999999999994</v>
      </c>
      <c r="F15" s="94">
        <f>+UTAMA!H15</f>
        <v>8.2189999999999994</v>
      </c>
      <c r="G15" s="93">
        <f>+UTAMA!I15</f>
        <v>207.02</v>
      </c>
      <c r="H15" s="94">
        <f>+UTAMA!J15</f>
        <v>9.5299999999999994</v>
      </c>
      <c r="I15" s="96">
        <v>4959</v>
      </c>
      <c r="K15" s="125"/>
      <c r="L15" s="125"/>
      <c r="M15" s="125"/>
      <c r="N15" s="92"/>
    </row>
    <row r="16" spans="1:14" ht="15.75" x14ac:dyDescent="0.25">
      <c r="A16" s="126">
        <f t="shared" si="0"/>
        <v>6</v>
      </c>
      <c r="B16" s="127" t="s">
        <v>33</v>
      </c>
      <c r="C16" s="93">
        <f>+UTAMA!E16</f>
        <v>320</v>
      </c>
      <c r="D16" s="94">
        <f>+UTAMA!F16</f>
        <v>5.1509999999999998</v>
      </c>
      <c r="E16" s="97">
        <f>+UTAMA!H16</f>
        <v>4.2510000000000003</v>
      </c>
      <c r="F16" s="94">
        <f>+UTAMA!H16</f>
        <v>4.2510000000000003</v>
      </c>
      <c r="G16" s="93">
        <f>+UTAMA!I16</f>
        <v>320.02</v>
      </c>
      <c r="H16" s="94">
        <f>+UTAMA!J16</f>
        <v>5.1609999999999996</v>
      </c>
      <c r="I16" s="96">
        <v>6052</v>
      </c>
      <c r="K16" s="125"/>
      <c r="L16" s="125"/>
      <c r="M16" s="125"/>
      <c r="N16" s="92"/>
    </row>
    <row r="17" spans="1:14" ht="15.75" x14ac:dyDescent="0.25">
      <c r="A17" s="126">
        <f t="shared" si="0"/>
        <v>7</v>
      </c>
      <c r="B17" s="127" t="s">
        <v>34</v>
      </c>
      <c r="C17" s="93">
        <f>+UTAMA!E17</f>
        <v>90</v>
      </c>
      <c r="D17" s="94">
        <f>+UTAMA!F17</f>
        <v>689.09100000000001</v>
      </c>
      <c r="E17" s="97">
        <f>+UTAMA!G17</f>
        <v>87.8</v>
      </c>
      <c r="F17" s="94">
        <f>+UTAMA!H17</f>
        <v>580.92600000000004</v>
      </c>
      <c r="G17" s="93">
        <f>+UTAMA!I17</f>
        <v>89.28</v>
      </c>
      <c r="H17" s="94">
        <f>+UTAMA!J17</f>
        <v>647.80700000000002</v>
      </c>
      <c r="I17" s="96">
        <v>59645</v>
      </c>
      <c r="K17" s="125"/>
      <c r="L17" s="125"/>
      <c r="M17" s="125"/>
      <c r="N17" s="92"/>
    </row>
    <row r="18" spans="1:14" ht="15.75" x14ac:dyDescent="0.25">
      <c r="A18" s="126">
        <f t="shared" si="0"/>
        <v>8</v>
      </c>
      <c r="B18" s="127" t="s">
        <v>35</v>
      </c>
      <c r="C18" s="93">
        <f>+UTAMA!E18</f>
        <v>120.5</v>
      </c>
      <c r="D18" s="94">
        <f>+UTAMA!F18</f>
        <v>2.0920000000000001</v>
      </c>
      <c r="E18" s="97">
        <f>+UTAMA!G18</f>
        <v>119.21</v>
      </c>
      <c r="F18" s="94">
        <f>+UTAMA!H18</f>
        <v>1.532</v>
      </c>
      <c r="G18" s="93">
        <f>+UTAMA!I18</f>
        <v>119.97</v>
      </c>
      <c r="H18" s="94">
        <f>+UTAMA!J18</f>
        <v>1.556</v>
      </c>
      <c r="I18" s="98">
        <v>923</v>
      </c>
      <c r="K18" s="125"/>
      <c r="L18" s="125"/>
      <c r="M18" s="128"/>
      <c r="N18" s="92"/>
    </row>
    <row r="19" spans="1:14" ht="15.75" x14ac:dyDescent="0.25">
      <c r="A19" s="126">
        <f t="shared" si="0"/>
        <v>9</v>
      </c>
      <c r="B19" s="127" t="s">
        <v>36</v>
      </c>
      <c r="C19" s="93">
        <f>+UTAMA!E19</f>
        <v>120.8</v>
      </c>
      <c r="D19" s="94">
        <f>+UTAMA!F19</f>
        <v>2.3530000000000002</v>
      </c>
      <c r="E19" s="97">
        <f>+UTAMA!G19</f>
        <v>119</v>
      </c>
      <c r="F19" s="94">
        <f>+UTAMA!H19</f>
        <v>1.4830000000000001</v>
      </c>
      <c r="G19" s="93">
        <f>+UTAMA!I19</f>
        <v>119.68</v>
      </c>
      <c r="H19" s="94">
        <f>+UTAMA!J19</f>
        <v>1.2010000000000001</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2.5009999999999999</v>
      </c>
      <c r="G20" s="93">
        <f>+UTAMA!I20</f>
        <v>46.51</v>
      </c>
      <c r="H20" s="94">
        <f>+UTAMA!J20</f>
        <v>4.2060000000000004</v>
      </c>
      <c r="I20" s="100">
        <v>440</v>
      </c>
      <c r="K20" s="125"/>
      <c r="L20" s="125"/>
      <c r="M20" s="128"/>
      <c r="N20" s="92"/>
    </row>
    <row r="21" spans="1:14" ht="15.75" x14ac:dyDescent="0.25">
      <c r="A21" s="126">
        <f t="shared" si="0"/>
        <v>11</v>
      </c>
      <c r="B21" s="127" t="s">
        <v>39</v>
      </c>
      <c r="C21" s="93">
        <f>+UTAMA!E21</f>
        <v>51.5</v>
      </c>
      <c r="D21" s="94">
        <f>+UTAMA!F21</f>
        <v>2.4159999999999999</v>
      </c>
      <c r="E21" s="97">
        <f>+UTAMA!G21</f>
        <v>47.84</v>
      </c>
      <c r="F21" s="94">
        <f>+UTAMA!H21</f>
        <v>1.8160000000000001</v>
      </c>
      <c r="G21" s="93">
        <f>+UTAMA!I21</f>
        <v>51.45</v>
      </c>
      <c r="H21" s="94">
        <f>+UTAMA!J21</f>
        <v>2.548</v>
      </c>
      <c r="I21" s="100">
        <v>775</v>
      </c>
      <c r="K21" s="125"/>
      <c r="L21" s="125"/>
      <c r="M21" s="128"/>
      <c r="N21" s="92"/>
    </row>
    <row r="22" spans="1:14" ht="15.75" x14ac:dyDescent="0.25">
      <c r="A22" s="126">
        <f t="shared" si="0"/>
        <v>12</v>
      </c>
      <c r="B22" s="127" t="s">
        <v>40</v>
      </c>
      <c r="C22" s="93">
        <f>+UTAMA!E22</f>
        <v>81</v>
      </c>
      <c r="D22" s="94">
        <f>+UTAMA!F22</f>
        <v>1.093</v>
      </c>
      <c r="E22" s="97">
        <f>+UTAMA!G22</f>
        <v>78.319999999999993</v>
      </c>
      <c r="F22" s="94">
        <f>+UTAMA!H22</f>
        <v>0.65900000000000003</v>
      </c>
      <c r="G22" s="93">
        <f>+UTAMA!I22</f>
        <v>77.150000000000006</v>
      </c>
      <c r="H22" s="94">
        <f>+UTAMA!J22</f>
        <v>0.78100000000000003</v>
      </c>
      <c r="I22" s="96">
        <v>750</v>
      </c>
      <c r="K22" s="125"/>
      <c r="L22" s="125"/>
      <c r="M22" s="128"/>
      <c r="N22" s="92"/>
    </row>
    <row r="23" spans="1:14" ht="15.75" x14ac:dyDescent="0.25">
      <c r="A23" s="126">
        <f t="shared" si="0"/>
        <v>13</v>
      </c>
      <c r="B23" s="127" t="s">
        <v>41</v>
      </c>
      <c r="C23" s="93">
        <f>+UTAMA!E23</f>
        <v>82.8</v>
      </c>
      <c r="D23" s="94">
        <f>+UTAMA!F23</f>
        <v>0.42899999999999999</v>
      </c>
      <c r="E23" s="99">
        <f>+UTAMA!G23</f>
        <v>82</v>
      </c>
      <c r="F23" s="94">
        <f>+UTAMA!H23</f>
        <v>0.30299999999999999</v>
      </c>
      <c r="G23" s="93">
        <f>+UTAMA!I23</f>
        <v>81.56</v>
      </c>
      <c r="H23" s="94">
        <f>+UTAMA!J23</f>
        <v>5.8999999999999997E-2</v>
      </c>
      <c r="I23" s="96">
        <v>482</v>
      </c>
      <c r="K23" s="125"/>
      <c r="L23" s="125"/>
      <c r="M23" s="125"/>
      <c r="N23" s="92"/>
    </row>
    <row r="24" spans="1:14" ht="15.75" x14ac:dyDescent="0.25">
      <c r="A24" s="126">
        <f t="shared" si="0"/>
        <v>14</v>
      </c>
      <c r="B24" s="127" t="s">
        <v>42</v>
      </c>
      <c r="C24" s="93">
        <f>+UTAMA!E24</f>
        <v>69.95</v>
      </c>
      <c r="D24" s="94">
        <f>+UTAMA!F24</f>
        <v>0.25</v>
      </c>
      <c r="E24" s="99">
        <f>+UTAMA!G24</f>
        <v>70.150000000000006</v>
      </c>
      <c r="F24" s="94">
        <f>+UTAMA!H24</f>
        <v>0.26400000000000001</v>
      </c>
      <c r="G24" s="93">
        <f>+UTAMA!I24</f>
        <v>63.61</v>
      </c>
      <c r="H24" s="94">
        <f>+UTAMA!J24</f>
        <v>0.20599999999999999</v>
      </c>
      <c r="I24" s="96">
        <v>366</v>
      </c>
      <c r="K24" s="125"/>
      <c r="L24" s="125"/>
      <c r="M24" s="125"/>
      <c r="N24" s="101"/>
    </row>
    <row r="25" spans="1:14" ht="15.75" x14ac:dyDescent="0.25">
      <c r="A25" s="126">
        <f t="shared" si="0"/>
        <v>15</v>
      </c>
      <c r="B25" s="127" t="s">
        <v>43</v>
      </c>
      <c r="C25" s="93">
        <f>+UTAMA!E25</f>
        <v>48.2</v>
      </c>
      <c r="D25" s="94">
        <f>+UTAMA!F25</f>
        <v>0.38500000000000001</v>
      </c>
      <c r="E25" s="97">
        <f>+UTAMA!G25</f>
        <v>44.99</v>
      </c>
      <c r="F25" s="94">
        <f>+UTAMA!H25</f>
        <v>9.8000000000000004E-2</v>
      </c>
      <c r="G25" s="93">
        <f>+UTAMA!I25</f>
        <v>45.66</v>
      </c>
      <c r="H25" s="94">
        <f>+UTAMA!J25</f>
        <v>0.20399999999999999</v>
      </c>
      <c r="I25" s="100">
        <v>260</v>
      </c>
      <c r="K25" s="125"/>
      <c r="L25" s="125"/>
      <c r="M25" s="125"/>
      <c r="N25" s="92"/>
    </row>
    <row r="26" spans="1:14" ht="15.75" x14ac:dyDescent="0.25">
      <c r="A26" s="126">
        <f t="shared" si="0"/>
        <v>16</v>
      </c>
      <c r="B26" s="127" t="s">
        <v>44</v>
      </c>
      <c r="C26" s="93">
        <f>+UTAMA!E26</f>
        <v>136</v>
      </c>
      <c r="D26" s="94">
        <f>+UTAMA!F26</f>
        <v>398.69</v>
      </c>
      <c r="E26" s="97">
        <f>+UTAMA!G26</f>
        <v>136</v>
      </c>
      <c r="F26" s="94">
        <f>+UTAMA!H26</f>
        <v>366.13600000000002</v>
      </c>
      <c r="G26" s="93">
        <f>+UTAMA!I26</f>
        <v>135.96</v>
      </c>
      <c r="H26" s="94">
        <f>+UTAMA!J26</f>
        <v>363.98</v>
      </c>
      <c r="I26" s="96">
        <v>28109</v>
      </c>
      <c r="K26" s="125"/>
      <c r="L26" s="125"/>
      <c r="M26" s="125"/>
      <c r="N26" s="102"/>
    </row>
    <row r="27" spans="1:14" ht="15.75" x14ac:dyDescent="0.25">
      <c r="A27" s="126">
        <f t="shared" si="0"/>
        <v>17</v>
      </c>
      <c r="B27" s="127" t="s">
        <v>45</v>
      </c>
      <c r="C27" s="93">
        <f>+UTAMA!E27</f>
        <v>113.5</v>
      </c>
      <c r="D27" s="94">
        <f>+UTAMA!F27</f>
        <v>2.3410000000000002</v>
      </c>
      <c r="E27" s="97">
        <f>+UTAMA!G27</f>
        <v>112.1</v>
      </c>
      <c r="F27" s="94">
        <f>+UTAMA!H27</f>
        <v>1.728</v>
      </c>
      <c r="G27" s="93">
        <f>+UTAMA!I27</f>
        <v>111.65</v>
      </c>
      <c r="H27" s="94">
        <f>+UTAMA!J27</f>
        <v>1.5620000000000001</v>
      </c>
      <c r="I27" s="96">
        <v>874</v>
      </c>
      <c r="K27" s="125"/>
      <c r="L27" s="125"/>
      <c r="M27" s="125"/>
      <c r="N27" s="102"/>
    </row>
    <row r="28" spans="1:14" ht="15.75" x14ac:dyDescent="0.25">
      <c r="A28" s="126">
        <f t="shared" si="0"/>
        <v>18</v>
      </c>
      <c r="B28" s="127" t="s">
        <v>46</v>
      </c>
      <c r="C28" s="93">
        <f>+UTAMA!E28</f>
        <v>225.4</v>
      </c>
      <c r="D28" s="94">
        <f>+UTAMA!F28</f>
        <v>0.32300000000000001</v>
      </c>
      <c r="E28" s="97">
        <f>+UTAMA!G28</f>
        <v>203.11</v>
      </c>
      <c r="F28" s="94">
        <f>+UTAMA!H28</f>
        <v>0.23300000000000001</v>
      </c>
      <c r="G28" s="93">
        <f>+UTAMA!I28</f>
        <v>203</v>
      </c>
      <c r="H28" s="94">
        <f>+UTAMA!J28</f>
        <v>0.222</v>
      </c>
      <c r="I28" s="100">
        <v>392</v>
      </c>
      <c r="K28" s="125"/>
      <c r="L28" s="125"/>
      <c r="M28" s="125"/>
      <c r="N28" s="92"/>
    </row>
    <row r="29" spans="1:14" ht="15.75" x14ac:dyDescent="0.25">
      <c r="A29" s="126">
        <f t="shared" si="0"/>
        <v>19</v>
      </c>
      <c r="B29" s="127" t="s">
        <v>47</v>
      </c>
      <c r="C29" s="93">
        <f>+UTAMA!E29</f>
        <v>224</v>
      </c>
      <c r="D29" s="94">
        <f>+UTAMA!F29</f>
        <v>0.42899999999999999</v>
      </c>
      <c r="E29" s="97">
        <f>+UTAMA!G29</f>
        <v>223.14</v>
      </c>
      <c r="F29" s="94">
        <f>+UTAMA!H29</f>
        <v>0.35399999999999998</v>
      </c>
      <c r="G29" s="93">
        <f>+UTAMA!I29</f>
        <v>223.38</v>
      </c>
      <c r="H29" s="94">
        <f>+UTAMA!J29</f>
        <v>0.372</v>
      </c>
      <c r="I29" s="100">
        <v>500</v>
      </c>
      <c r="K29" s="125"/>
      <c r="L29" s="125"/>
      <c r="M29" s="125"/>
      <c r="N29" s="92"/>
    </row>
    <row r="30" spans="1:14" ht="15.75" x14ac:dyDescent="0.25">
      <c r="A30" s="126">
        <f t="shared" si="0"/>
        <v>20</v>
      </c>
      <c r="B30" s="127" t="s">
        <v>48</v>
      </c>
      <c r="C30" s="93">
        <f>+UTAMA!E30</f>
        <v>196</v>
      </c>
      <c r="D30" s="94">
        <f>+UTAMA!F30</f>
        <v>0.77100000000000002</v>
      </c>
      <c r="E30" s="97">
        <f>+UTAMA!G30</f>
        <v>195</v>
      </c>
      <c r="F30" s="94">
        <f>+UTAMA!H30</f>
        <v>0.58399999999999996</v>
      </c>
      <c r="G30" s="93">
        <f>+UTAMA!I30</f>
        <v>195.63</v>
      </c>
      <c r="H30" s="94">
        <f>+UTAMA!J30</f>
        <v>0.7</v>
      </c>
      <c r="I30" s="100">
        <v>700</v>
      </c>
      <c r="K30" s="125"/>
      <c r="L30" s="125"/>
      <c r="M30" s="125"/>
      <c r="N30" s="92"/>
    </row>
    <row r="31" spans="1:14" ht="15.75" x14ac:dyDescent="0.25">
      <c r="A31" s="126">
        <f t="shared" si="0"/>
        <v>21</v>
      </c>
      <c r="B31" s="127" t="s">
        <v>49</v>
      </c>
      <c r="C31" s="93">
        <f>+UTAMA!E31</f>
        <v>174</v>
      </c>
      <c r="D31" s="94">
        <f>+UTAMA!F31</f>
        <v>0.22600000000000001</v>
      </c>
      <c r="E31" s="99">
        <f>+UTAMA!G31</f>
        <v>170.57</v>
      </c>
      <c r="F31" s="94">
        <f>+UTAMA!H31</f>
        <v>0.16300000000000001</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227.7</v>
      </c>
      <c r="F32" s="94">
        <f>+UTAMA!H32</f>
        <v>0.59199999999999997</v>
      </c>
      <c r="G32" s="93">
        <f>+UTAMA!I32</f>
        <v>227.99</v>
      </c>
      <c r="H32" s="94">
        <f>+UTAMA!J32</f>
        <v>0.621</v>
      </c>
      <c r="I32" s="98">
        <v>354</v>
      </c>
      <c r="K32" s="125"/>
      <c r="L32" s="125"/>
      <c r="M32" s="125"/>
      <c r="N32" s="92"/>
    </row>
    <row r="33" spans="1:14" ht="15.75" x14ac:dyDescent="0.25">
      <c r="A33" s="126">
        <f t="shared" si="0"/>
        <v>23</v>
      </c>
      <c r="B33" s="127" t="s">
        <v>51</v>
      </c>
      <c r="C33" s="93">
        <f>+UTAMA!E33</f>
        <v>249</v>
      </c>
      <c r="D33" s="94">
        <f>+UTAMA!F33</f>
        <v>1.708</v>
      </c>
      <c r="E33" s="97">
        <f>+UTAMA!G33</f>
        <v>248.2</v>
      </c>
      <c r="F33" s="94">
        <f>+UTAMA!H33</f>
        <v>1.5669999999999999</v>
      </c>
      <c r="G33" s="93">
        <f>+UTAMA!I33</f>
        <v>248.6</v>
      </c>
      <c r="H33" s="94">
        <f>+UTAMA!J33</f>
        <v>1.679</v>
      </c>
      <c r="I33" s="100">
        <v>637</v>
      </c>
      <c r="K33" s="125"/>
      <c r="L33" s="125"/>
      <c r="M33" s="125"/>
      <c r="N33" s="92"/>
    </row>
    <row r="34" spans="1:14" ht="15.75" x14ac:dyDescent="0.25">
      <c r="A34" s="126">
        <f t="shared" si="0"/>
        <v>24</v>
      </c>
      <c r="B34" s="127" t="s">
        <v>52</v>
      </c>
      <c r="C34" s="93">
        <f>+UTAMA!E34</f>
        <v>164.75</v>
      </c>
      <c r="D34" s="94">
        <f>+UTAMA!F34</f>
        <v>4.3979999999999997</v>
      </c>
      <c r="E34" s="97">
        <f>+UTAMA!G34</f>
        <v>149.35</v>
      </c>
      <c r="F34" s="94">
        <f>+UTAMA!H34</f>
        <v>2.7919999999999998</v>
      </c>
      <c r="G34" s="93">
        <f>+UTAMA!I34</f>
        <v>146</v>
      </c>
      <c r="H34" s="94">
        <f>+UTAMA!J34</f>
        <v>1.1419999999999999</v>
      </c>
      <c r="I34" s="100">
        <v>7394</v>
      </c>
      <c r="K34" s="125"/>
      <c r="L34" s="125"/>
      <c r="M34" s="125"/>
      <c r="N34" s="102"/>
    </row>
    <row r="35" spans="1:14" ht="15.75" x14ac:dyDescent="0.25">
      <c r="A35" s="126">
        <f t="shared" si="0"/>
        <v>25</v>
      </c>
      <c r="B35" s="127" t="s">
        <v>53</v>
      </c>
      <c r="C35" s="93">
        <f>+UTAMA!E35</f>
        <v>179.1</v>
      </c>
      <c r="D35" s="94">
        <f>+UTAMA!F35</f>
        <v>3.3109999999999999</v>
      </c>
      <c r="E35" s="103">
        <f>+UTAMA!G35</f>
        <v>204.86</v>
      </c>
      <c r="F35" s="94">
        <f>+UTAMA!H35</f>
        <v>3.2320000000000002</v>
      </c>
      <c r="G35" s="93">
        <f>+UTAMA!I35</f>
        <v>204.46</v>
      </c>
      <c r="H35" s="94">
        <f>+UTAMA!J35</f>
        <v>2.992</v>
      </c>
      <c r="I35" s="100">
        <v>2410</v>
      </c>
      <c r="K35" s="125"/>
      <c r="L35" s="125"/>
      <c r="M35" s="125"/>
      <c r="N35" s="102"/>
    </row>
    <row r="36" spans="1:14" ht="15.75" x14ac:dyDescent="0.25">
      <c r="A36" s="126">
        <f t="shared" si="0"/>
        <v>26</v>
      </c>
      <c r="B36" s="127" t="s">
        <v>54</v>
      </c>
      <c r="C36" s="93">
        <f>+UTAMA!E36</f>
        <v>325.56</v>
      </c>
      <c r="D36" s="94">
        <f>+UTAMA!F36</f>
        <v>0.64100000000000001</v>
      </c>
      <c r="E36" s="103">
        <f>+UTAMA!G36</f>
        <v>325.3</v>
      </c>
      <c r="F36" s="94">
        <f>+UTAMA!H36</f>
        <v>0.622</v>
      </c>
      <c r="G36" s="93">
        <f>+UTAMA!I36</f>
        <v>324.16000000000003</v>
      </c>
      <c r="H36" s="94">
        <f>+UTAMA!J36</f>
        <v>0.51400000000000001</v>
      </c>
      <c r="I36" s="100">
        <v>1370</v>
      </c>
      <c r="K36" s="125"/>
      <c r="L36" s="125"/>
      <c r="M36" s="125"/>
      <c r="N36" s="102"/>
    </row>
    <row r="37" spans="1:14" ht="15.75" x14ac:dyDescent="0.25">
      <c r="A37" s="126">
        <f t="shared" si="0"/>
        <v>27</v>
      </c>
      <c r="B37" s="127" t="s">
        <v>55</v>
      </c>
      <c r="C37" s="93">
        <f>+UTAMA!E37</f>
        <v>129.19999999999999</v>
      </c>
      <c r="D37" s="94">
        <f>+UTAMA!F37</f>
        <v>0.71</v>
      </c>
      <c r="E37" s="103">
        <f>+UTAMA!G37</f>
        <v>129</v>
      </c>
      <c r="F37" s="94">
        <f>+UTAMA!H37</f>
        <v>0.68300000000000005</v>
      </c>
      <c r="G37" s="93">
        <f>+UTAMA!I37</f>
        <v>129.02000000000001</v>
      </c>
      <c r="H37" s="94">
        <f>+UTAMA!J37</f>
        <v>0.68300000000000005</v>
      </c>
      <c r="I37" s="100">
        <v>358</v>
      </c>
      <c r="K37" s="125"/>
      <c r="L37" s="125"/>
      <c r="M37" s="125"/>
      <c r="N37" s="102"/>
    </row>
    <row r="38" spans="1:14" ht="15.75" x14ac:dyDescent="0.25">
      <c r="A38" s="126">
        <f t="shared" si="0"/>
        <v>28</v>
      </c>
      <c r="B38" s="127" t="s">
        <v>56</v>
      </c>
      <c r="C38" s="93">
        <f>+UTAMA!E38</f>
        <v>282.77999999999997</v>
      </c>
      <c r="D38" s="94">
        <f>+UTAMA!F38</f>
        <v>0.48</v>
      </c>
      <c r="E38" s="103">
        <f>+UTAMA!G38</f>
        <v>282.7</v>
      </c>
      <c r="F38" s="94">
        <f>+UTAMA!H38</f>
        <v>0.45800000000000002</v>
      </c>
      <c r="G38" s="93">
        <f>+UTAMA!I38</f>
        <v>282.82</v>
      </c>
      <c r="H38" s="94">
        <f>+UTAMA!J38</f>
        <v>0.46800000000000003</v>
      </c>
      <c r="I38" s="100">
        <v>268</v>
      </c>
      <c r="K38" s="125"/>
      <c r="L38" s="125"/>
      <c r="M38" s="125"/>
      <c r="N38" s="101"/>
    </row>
    <row r="39" spans="1:14" ht="15.75" x14ac:dyDescent="0.25">
      <c r="A39" s="126">
        <f t="shared" si="0"/>
        <v>29</v>
      </c>
      <c r="B39" s="127" t="s">
        <v>57</v>
      </c>
      <c r="C39" s="93">
        <f>+UTAMA!E39</f>
        <v>99</v>
      </c>
      <c r="D39" s="94">
        <f>+UTAMA!F39</f>
        <v>2.8849999999999998</v>
      </c>
      <c r="E39" s="103">
        <f>+UTAMA!G39</f>
        <v>98.43</v>
      </c>
      <c r="F39" s="94">
        <f>+UTAMA!H39</f>
        <v>2.472</v>
      </c>
      <c r="G39" s="93">
        <f>+UTAMA!I39</f>
        <v>98.84</v>
      </c>
      <c r="H39" s="94">
        <f>+UTAMA!J39</f>
        <v>2.7770000000000001</v>
      </c>
      <c r="I39" s="100">
        <v>892</v>
      </c>
      <c r="K39" s="125"/>
      <c r="L39" s="125"/>
      <c r="M39" s="125"/>
      <c r="N39" s="102"/>
    </row>
    <row r="40" spans="1:14" ht="15.75" x14ac:dyDescent="0.25">
      <c r="A40" s="126">
        <f t="shared" si="0"/>
        <v>30</v>
      </c>
      <c r="B40" s="127" t="s">
        <v>58</v>
      </c>
      <c r="C40" s="93">
        <f>+UTAMA!E40</f>
        <v>189.7</v>
      </c>
      <c r="D40" s="94">
        <f>+UTAMA!F40</f>
        <v>7.9000000000000001E-2</v>
      </c>
      <c r="E40" s="103">
        <f>+UTAMA!G40</f>
        <v>189.5</v>
      </c>
      <c r="F40" s="94">
        <f>+UTAMA!H40</f>
        <v>7.5999999999999998E-2</v>
      </c>
      <c r="G40" s="93">
        <f>+UTAMA!I40</f>
        <v>189.61</v>
      </c>
      <c r="H40" s="94">
        <f>+UTAMA!J40</f>
        <v>7.8E-2</v>
      </c>
      <c r="I40" s="100">
        <v>274</v>
      </c>
      <c r="K40" s="125"/>
      <c r="L40" s="125"/>
      <c r="M40" s="125"/>
      <c r="N40" s="102"/>
    </row>
    <row r="41" spans="1:14" ht="15.75" x14ac:dyDescent="0.25">
      <c r="A41" s="126">
        <f t="shared" si="0"/>
        <v>31</v>
      </c>
      <c r="B41" s="127" t="s">
        <v>59</v>
      </c>
      <c r="C41" s="93">
        <f>+UTAMA!E41</f>
        <v>171.19</v>
      </c>
      <c r="D41" s="94">
        <f>+UTAMA!F41</f>
        <v>9.6000000000000002E-2</v>
      </c>
      <c r="E41" s="103">
        <f>+UTAMA!G41</f>
        <v>171.2</v>
      </c>
      <c r="F41" s="94">
        <f>+UTAMA!H41</f>
        <v>9.7000000000000003E-2</v>
      </c>
      <c r="G41" s="93">
        <f>+UTAMA!I41</f>
        <v>170.34</v>
      </c>
      <c r="H41" s="94">
        <f>+UTAMA!J41</f>
        <v>7.5999999999999998E-2</v>
      </c>
      <c r="I41" s="100">
        <v>395</v>
      </c>
      <c r="K41" s="125"/>
      <c r="L41" s="125"/>
      <c r="M41" s="125"/>
      <c r="N41" s="102"/>
    </row>
    <row r="42" spans="1:14" ht="15.75" x14ac:dyDescent="0.25">
      <c r="A42" s="126">
        <f t="shared" si="0"/>
        <v>32</v>
      </c>
      <c r="B42" s="127" t="s">
        <v>60</v>
      </c>
      <c r="C42" s="93">
        <f>+UTAMA!E42</f>
        <v>142.6</v>
      </c>
      <c r="D42" s="94">
        <f>+UTAMA!F42</f>
        <v>9.8740000000000006</v>
      </c>
      <c r="E42" s="103">
        <f>+UTAMA!G42</f>
        <v>139.44999999999999</v>
      </c>
      <c r="F42" s="94">
        <f>+UTAMA!H42</f>
        <v>6.782</v>
      </c>
      <c r="G42" s="93">
        <f>+UTAMA!I42</f>
        <v>140.04</v>
      </c>
      <c r="H42" s="94">
        <f>+UTAMA!J42</f>
        <v>8.3780000000000001</v>
      </c>
      <c r="I42" s="96">
        <v>1570</v>
      </c>
      <c r="K42" s="125"/>
      <c r="L42" s="125"/>
      <c r="M42" s="125"/>
      <c r="N42" s="102"/>
    </row>
    <row r="43" spans="1:14" ht="15.75" x14ac:dyDescent="0.25">
      <c r="A43" s="126">
        <f t="shared" si="0"/>
        <v>33</v>
      </c>
      <c r="B43" s="127" t="s">
        <v>61</v>
      </c>
      <c r="C43" s="93">
        <f>+UTAMA!E43</f>
        <v>239.5</v>
      </c>
      <c r="D43" s="94">
        <f>+UTAMA!F43</f>
        <v>2.6720000000000002</v>
      </c>
      <c r="E43" s="103">
        <f>+UTAMA!G43</f>
        <v>237.93</v>
      </c>
      <c r="F43" s="94">
        <f>+UTAMA!H43</f>
        <v>1.8240000000000001</v>
      </c>
      <c r="G43" s="93">
        <f>+UTAMA!I43</f>
        <v>239.1</v>
      </c>
      <c r="H43" s="94">
        <f>+UTAMA!J43</f>
        <v>2.468</v>
      </c>
      <c r="I43" s="96">
        <v>1353</v>
      </c>
      <c r="K43" s="125"/>
      <c r="L43" s="125"/>
      <c r="M43" s="125"/>
      <c r="N43" s="102"/>
    </row>
    <row r="44" spans="1:14" ht="15.75" x14ac:dyDescent="0.25">
      <c r="A44" s="126">
        <f t="shared" si="0"/>
        <v>34</v>
      </c>
      <c r="B44" s="127" t="s">
        <v>62</v>
      </c>
      <c r="C44" s="93">
        <f>+UTAMA!E44</f>
        <v>120.5</v>
      </c>
      <c r="D44" s="94">
        <f>+UTAMA!F44</f>
        <v>4.1539999999999999</v>
      </c>
      <c r="E44" s="103">
        <f>+UTAMA!G44</f>
        <v>120.25</v>
      </c>
      <c r="F44" s="94">
        <f>+UTAMA!H44</f>
        <v>3.2050000000000001</v>
      </c>
      <c r="G44" s="93">
        <f>+UTAMA!I44</f>
        <v>120.58</v>
      </c>
      <c r="H44" s="94">
        <f>+UTAMA!J44</f>
        <v>3.83</v>
      </c>
      <c r="I44" s="100">
        <v>782</v>
      </c>
      <c r="K44" s="125"/>
      <c r="L44" s="125"/>
      <c r="M44" s="125"/>
      <c r="N44" s="102"/>
    </row>
    <row r="45" spans="1:14" ht="15.75" x14ac:dyDescent="0.25">
      <c r="A45" s="126">
        <f t="shared" si="0"/>
        <v>35</v>
      </c>
      <c r="B45" s="127" t="s">
        <v>63</v>
      </c>
      <c r="C45" s="93">
        <f>+UTAMA!E45</f>
        <v>110.56</v>
      </c>
      <c r="D45" s="94">
        <f>+UTAMA!F45</f>
        <v>2.75</v>
      </c>
      <c r="E45" s="103">
        <f>+UTAMA!G45</f>
        <v>110.36</v>
      </c>
      <c r="F45" s="94">
        <f>+UTAMA!H45</f>
        <v>2.371</v>
      </c>
      <c r="G45" s="93">
        <f>+UTAMA!I45</f>
        <v>110.53</v>
      </c>
      <c r="H45" s="94">
        <f>+UTAMA!J45</f>
        <v>2.6930000000000001</v>
      </c>
      <c r="I45" s="100">
        <v>43</v>
      </c>
      <c r="K45" s="125"/>
      <c r="L45" s="125"/>
      <c r="M45" s="125"/>
      <c r="N45" s="102"/>
    </row>
    <row r="46" spans="1:14" ht="15.75" x14ac:dyDescent="0.25">
      <c r="A46" s="126">
        <f t="shared" si="0"/>
        <v>36</v>
      </c>
      <c r="B46" s="127" t="s">
        <v>64</v>
      </c>
      <c r="C46" s="93">
        <f>+UTAMA!E46</f>
        <v>72</v>
      </c>
      <c r="D46" s="94">
        <f>+UTAMA!F46</f>
        <v>38.036000000000001</v>
      </c>
      <c r="E46" s="103">
        <f>+UTAMA!G46</f>
        <v>69.33</v>
      </c>
      <c r="F46" s="94">
        <f>+UTAMA!H46</f>
        <v>29.43</v>
      </c>
      <c r="G46" s="93">
        <f>+UTAMA!I46</f>
        <v>65.91</v>
      </c>
      <c r="H46" s="94">
        <f>+UTAMA!J46</f>
        <v>22.79</v>
      </c>
      <c r="I46" s="96">
        <v>6485</v>
      </c>
      <c r="K46" s="125"/>
      <c r="L46" s="125"/>
      <c r="M46" s="125"/>
      <c r="N46" s="102"/>
    </row>
    <row r="47" spans="1:14" ht="15.75" x14ac:dyDescent="0.25">
      <c r="A47" s="126">
        <f t="shared" si="0"/>
        <v>37</v>
      </c>
      <c r="B47" s="127" t="s">
        <v>65</v>
      </c>
      <c r="C47" s="93">
        <f>+UTAMA!E47</f>
        <v>185</v>
      </c>
      <c r="D47" s="94">
        <f>+UTAMA!F47</f>
        <v>388.72199999999998</v>
      </c>
      <c r="E47" s="103">
        <f>+UTAMA!G47</f>
        <v>183.92</v>
      </c>
      <c r="F47" s="94">
        <f>+UTAMA!H47</f>
        <v>377.56</v>
      </c>
      <c r="G47" s="93">
        <f>+UTAMA!I47</f>
        <v>175.79</v>
      </c>
      <c r="H47" s="94">
        <f>+UTAMA!J47</f>
        <v>297.42</v>
      </c>
      <c r="I47" s="96">
        <v>31109</v>
      </c>
      <c r="K47" s="125"/>
      <c r="L47" s="125"/>
      <c r="M47" s="125"/>
      <c r="N47" s="102"/>
    </row>
    <row r="48" spans="1:14" ht="16.5" thickBot="1" x14ac:dyDescent="0.3">
      <c r="A48" s="129">
        <f t="shared" si="0"/>
        <v>38</v>
      </c>
      <c r="B48" s="130" t="s">
        <v>66</v>
      </c>
      <c r="C48" s="93">
        <f>+UTAMA!E48</f>
        <v>231</v>
      </c>
      <c r="D48" s="94">
        <f>+UTAMA!F48</f>
        <v>23.24</v>
      </c>
      <c r="E48" s="103">
        <f>+UTAMA!G48</f>
        <v>229.2</v>
      </c>
      <c r="F48" s="94">
        <f>+UTAMA!H48</f>
        <v>6.5439999999999996</v>
      </c>
      <c r="G48" s="93">
        <f>+UTAMA!I48</f>
        <v>229.61</v>
      </c>
      <c r="H48" s="94">
        <f>+UTAMA!J48</f>
        <v>8.5619999999999994</v>
      </c>
      <c r="I48" s="104">
        <v>8400</v>
      </c>
      <c r="K48" s="125"/>
      <c r="L48" s="125"/>
      <c r="M48" s="125"/>
      <c r="N48" s="92"/>
    </row>
    <row r="49" spans="1:14" ht="16.5" thickBot="1" x14ac:dyDescent="0.3">
      <c r="A49" s="131"/>
      <c r="B49" s="121" t="s">
        <v>67</v>
      </c>
      <c r="C49" s="105"/>
      <c r="D49" s="132">
        <f>SUM(D11:D48)</f>
        <v>1738.5575980000001</v>
      </c>
      <c r="E49" s="105"/>
      <c r="F49" s="132">
        <f>SUM(F11:F48)</f>
        <v>1509.2250000000004</v>
      </c>
      <c r="G49" s="105"/>
      <c r="H49" s="132">
        <f>SUM(H11:H48)</f>
        <v>1509.7440000000001</v>
      </c>
      <c r="I49" s="133">
        <f>SUM(I11:I48)</f>
        <v>270584</v>
      </c>
      <c r="K49" s="125"/>
      <c r="L49" s="125"/>
      <c r="M49" s="125"/>
      <c r="N49" s="92"/>
    </row>
    <row r="50" spans="1:14" ht="16.5" thickBot="1" x14ac:dyDescent="0.3">
      <c r="A50" s="134" t="s">
        <v>68</v>
      </c>
      <c r="B50" s="121" t="s">
        <v>69</v>
      </c>
      <c r="C50" s="105"/>
      <c r="D50" s="132"/>
      <c r="E50" s="135"/>
      <c r="F50" s="136">
        <v>1</v>
      </c>
      <c r="G50" s="105"/>
      <c r="H50" s="136">
        <f>+H49/F49</f>
        <v>1.0003438851065942</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BE456"/>
  <sheetViews>
    <sheetView showGridLines="0" topLeftCell="A34" zoomScale="70" zoomScaleNormal="70" workbookViewId="0">
      <selection activeCell="A41" sqref="A41:L56"/>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39" t="s">
        <v>272</v>
      </c>
      <c r="C2" s="839"/>
      <c r="D2" s="839"/>
      <c r="E2" s="839"/>
      <c r="F2" s="839"/>
      <c r="G2" s="839"/>
      <c r="H2" s="839"/>
      <c r="I2" s="839"/>
      <c r="J2" s="839"/>
      <c r="K2" s="839"/>
      <c r="L2" s="839"/>
      <c r="N2" s="866" t="s">
        <v>282</v>
      </c>
      <c r="O2" s="867"/>
      <c r="P2" s="867"/>
      <c r="Q2" s="867"/>
      <c r="R2" s="867"/>
      <c r="S2" s="867"/>
      <c r="T2" s="867"/>
      <c r="U2" s="867"/>
      <c r="V2" s="867"/>
      <c r="W2" s="867"/>
      <c r="X2" s="867"/>
      <c r="Y2" s="867"/>
      <c r="Z2" s="868"/>
      <c r="AB2" s="852" t="s">
        <v>294</v>
      </c>
      <c r="AC2" s="852"/>
      <c r="AD2" s="852"/>
      <c r="AE2" s="852"/>
      <c r="AF2" s="852"/>
      <c r="AG2" s="852"/>
      <c r="AH2" s="852"/>
      <c r="AI2" s="852"/>
      <c r="AJ2" s="852"/>
      <c r="AK2" s="852"/>
      <c r="AL2" s="852"/>
      <c r="AM2" s="852"/>
      <c r="AN2" s="852"/>
      <c r="AO2"/>
      <c r="AP2"/>
      <c r="AQ2" s="853"/>
      <c r="AR2" s="853"/>
      <c r="AS2" s="853"/>
      <c r="AT2"/>
      <c r="AU2"/>
      <c r="AV2"/>
      <c r="AW2"/>
      <c r="AX2"/>
      <c r="AY2"/>
      <c r="AZ2"/>
      <c r="BA2"/>
      <c r="BB2"/>
      <c r="BC2"/>
      <c r="BD2"/>
      <c r="BE2"/>
    </row>
    <row r="3" spans="2:57" ht="17.25" customHeight="1" x14ac:dyDescent="0.3">
      <c r="B3" s="839"/>
      <c r="C3" s="839"/>
      <c r="D3" s="839"/>
      <c r="E3" s="839"/>
      <c r="F3" s="839"/>
      <c r="G3" s="839"/>
      <c r="H3" s="839"/>
      <c r="I3" s="839"/>
      <c r="J3" s="839"/>
      <c r="K3" s="839"/>
      <c r="L3" s="839"/>
      <c r="N3" s="864" t="s">
        <v>209</v>
      </c>
      <c r="O3" s="819"/>
      <c r="P3" s="819"/>
      <c r="Q3" s="819"/>
      <c r="R3" s="819"/>
      <c r="S3" s="819"/>
      <c r="T3" s="819"/>
      <c r="U3" s="819"/>
      <c r="V3" s="819"/>
      <c r="W3" s="819"/>
      <c r="X3" s="819"/>
      <c r="Y3" s="819"/>
      <c r="Z3" s="865"/>
      <c r="AB3" s="852" t="s">
        <v>339</v>
      </c>
      <c r="AC3" s="852"/>
      <c r="AD3" s="852"/>
      <c r="AE3" s="852"/>
      <c r="AF3" s="852"/>
      <c r="AG3" s="852"/>
      <c r="AH3" s="852"/>
      <c r="AI3" s="852"/>
      <c r="AJ3" s="852"/>
      <c r="AK3" s="852"/>
      <c r="AL3" s="852"/>
      <c r="AM3" s="852"/>
      <c r="AN3" s="852"/>
      <c r="AO3"/>
      <c r="AP3"/>
      <c r="AQ3"/>
      <c r="AR3"/>
      <c r="AS3"/>
      <c r="AT3"/>
      <c r="AU3"/>
      <c r="AV3"/>
      <c r="AW3"/>
      <c r="AX3"/>
      <c r="AY3"/>
      <c r="AZ3"/>
      <c r="BA3"/>
      <c r="BB3"/>
      <c r="BC3"/>
      <c r="BD3"/>
      <c r="BE3"/>
    </row>
    <row r="4" spans="2:57" ht="22.5" customHeight="1" thickBot="1" x14ac:dyDescent="0.25">
      <c r="B4" s="838" t="s">
        <v>340</v>
      </c>
      <c r="C4" s="838"/>
      <c r="D4" s="838"/>
      <c r="E4" s="838"/>
      <c r="F4" s="838"/>
      <c r="G4" s="838"/>
      <c r="H4" s="838"/>
      <c r="I4" s="838"/>
      <c r="J4" s="838"/>
      <c r="K4" s="838"/>
      <c r="L4" s="838"/>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69" t="s">
        <v>131</v>
      </c>
      <c r="O5" s="829" t="s">
        <v>132</v>
      </c>
      <c r="P5" s="829" t="s">
        <v>133</v>
      </c>
      <c r="Q5" s="829" t="s">
        <v>134</v>
      </c>
      <c r="R5" s="829" t="s">
        <v>135</v>
      </c>
      <c r="S5" s="829" t="s">
        <v>117</v>
      </c>
      <c r="T5" s="829" t="s">
        <v>136</v>
      </c>
      <c r="U5" s="829" t="s">
        <v>137</v>
      </c>
      <c r="V5" s="829" t="s">
        <v>138</v>
      </c>
      <c r="W5" s="829" t="s">
        <v>139</v>
      </c>
      <c r="X5" s="829" t="s">
        <v>140</v>
      </c>
      <c r="Y5" s="829" t="s">
        <v>141</v>
      </c>
      <c r="Z5" s="871" t="s">
        <v>142</v>
      </c>
      <c r="AB5" s="824" t="s">
        <v>131</v>
      </c>
      <c r="AC5" s="858" t="s">
        <v>132</v>
      </c>
      <c r="AD5" s="854" t="s">
        <v>133</v>
      </c>
      <c r="AE5" s="854" t="s">
        <v>134</v>
      </c>
      <c r="AF5" s="854" t="s">
        <v>135</v>
      </c>
      <c r="AG5" s="854" t="s">
        <v>117</v>
      </c>
      <c r="AH5" s="854" t="s">
        <v>136</v>
      </c>
      <c r="AI5" s="854" t="s">
        <v>137</v>
      </c>
      <c r="AJ5" s="854" t="s">
        <v>138</v>
      </c>
      <c r="AK5" s="854" t="s">
        <v>139</v>
      </c>
      <c r="AL5" s="854" t="s">
        <v>140</v>
      </c>
      <c r="AM5" s="854" t="s">
        <v>141</v>
      </c>
      <c r="AN5" s="856" t="s">
        <v>142</v>
      </c>
      <c r="AO5" s="427"/>
      <c r="AP5"/>
      <c r="AQ5"/>
      <c r="AR5"/>
      <c r="AS5"/>
      <c r="AT5"/>
      <c r="AU5"/>
      <c r="AV5"/>
      <c r="AW5"/>
      <c r="AX5"/>
      <c r="AY5"/>
      <c r="AZ5"/>
      <c r="BA5"/>
      <c r="BB5"/>
      <c r="BC5"/>
      <c r="BD5"/>
      <c r="BE5"/>
    </row>
    <row r="6" spans="2:57" ht="27" customHeight="1" thickBot="1" x14ac:dyDescent="0.25">
      <c r="B6" s="291"/>
      <c r="C6" s="418"/>
      <c r="D6" s="418"/>
      <c r="E6" s="418"/>
      <c r="F6" s="516">
        <v>24</v>
      </c>
      <c r="G6" s="566" t="s">
        <v>259</v>
      </c>
      <c r="H6" s="516">
        <v>2023</v>
      </c>
      <c r="I6" s="418"/>
      <c r="J6" s="418"/>
      <c r="K6" s="418"/>
      <c r="L6" s="419"/>
      <c r="N6" s="870"/>
      <c r="O6" s="830"/>
      <c r="P6" s="830"/>
      <c r="Q6" s="830"/>
      <c r="R6" s="830"/>
      <c r="S6" s="830"/>
      <c r="T6" s="830"/>
      <c r="U6" s="830"/>
      <c r="V6" s="830"/>
      <c r="W6" s="830"/>
      <c r="X6" s="830"/>
      <c r="Y6" s="830"/>
      <c r="Z6" s="872"/>
      <c r="AB6" s="825"/>
      <c r="AC6" s="859"/>
      <c r="AD6" s="855"/>
      <c r="AE6" s="855"/>
      <c r="AF6" s="855"/>
      <c r="AG6" s="855"/>
      <c r="AH6" s="855"/>
      <c r="AI6" s="855"/>
      <c r="AJ6" s="855"/>
      <c r="AK6" s="855"/>
      <c r="AL6" s="855"/>
      <c r="AM6" s="855"/>
      <c r="AN6" s="857"/>
      <c r="AO6" s="427"/>
      <c r="AP6"/>
      <c r="AQ6"/>
      <c r="AR6"/>
      <c r="AS6"/>
      <c r="AT6"/>
      <c r="AU6"/>
      <c r="AV6"/>
      <c r="AW6"/>
      <c r="AX6"/>
      <c r="AY6"/>
      <c r="AZ6"/>
      <c r="BA6"/>
      <c r="BB6"/>
      <c r="BC6"/>
      <c r="BD6"/>
      <c r="BE6"/>
    </row>
    <row r="7" spans="2:57" ht="27" customHeight="1" thickBot="1" x14ac:dyDescent="0.25">
      <c r="B7" s="843" t="s">
        <v>18</v>
      </c>
      <c r="C7" s="849" t="s">
        <v>271</v>
      </c>
      <c r="D7" s="846" t="s">
        <v>73</v>
      </c>
      <c r="E7" s="836" t="s">
        <v>20</v>
      </c>
      <c r="F7" s="837"/>
      <c r="G7" s="836" t="s">
        <v>94</v>
      </c>
      <c r="H7" s="837"/>
      <c r="I7" s="836" t="s">
        <v>22</v>
      </c>
      <c r="J7" s="837"/>
      <c r="K7" s="833" t="s">
        <v>190</v>
      </c>
      <c r="L7" s="840"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v>1537.66</v>
      </c>
      <c r="AF7" s="771">
        <v>1593.86</v>
      </c>
      <c r="AG7" s="771"/>
      <c r="AH7" s="771"/>
      <c r="AI7" s="771"/>
      <c r="AJ7" s="771"/>
      <c r="AK7" s="771"/>
      <c r="AL7" s="771"/>
      <c r="AM7" s="771"/>
      <c r="AN7" s="772"/>
      <c r="AO7" s="427"/>
      <c r="AP7"/>
      <c r="AQ7"/>
      <c r="AR7"/>
      <c r="AS7"/>
      <c r="AT7"/>
      <c r="AU7"/>
      <c r="AV7"/>
      <c r="AW7"/>
      <c r="AX7"/>
      <c r="AY7"/>
      <c r="AZ7"/>
      <c r="BA7"/>
      <c r="BB7"/>
      <c r="BC7"/>
      <c r="BD7"/>
      <c r="BE7"/>
    </row>
    <row r="8" spans="2:57" ht="27" customHeight="1" thickBot="1" x14ac:dyDescent="0.25">
      <c r="B8" s="844"/>
      <c r="C8" s="850"/>
      <c r="D8" s="847"/>
      <c r="E8" s="648" t="s">
        <v>24</v>
      </c>
      <c r="F8" s="648" t="s">
        <v>25</v>
      </c>
      <c r="G8" s="649" t="s">
        <v>24</v>
      </c>
      <c r="H8" s="648" t="s">
        <v>25</v>
      </c>
      <c r="I8" s="649" t="s">
        <v>24</v>
      </c>
      <c r="J8" s="648" t="s">
        <v>25</v>
      </c>
      <c r="K8" s="834"/>
      <c r="L8" s="841"/>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v>1576.71</v>
      </c>
      <c r="AF8" s="771">
        <v>1609.79</v>
      </c>
      <c r="AG8" s="771"/>
      <c r="AH8" s="771"/>
      <c r="AI8" s="771"/>
      <c r="AJ8" s="771"/>
      <c r="AK8" s="771"/>
      <c r="AL8" s="771"/>
      <c r="AM8" s="771"/>
      <c r="AN8" s="772"/>
      <c r="AO8" s="427"/>
      <c r="AP8"/>
      <c r="AQ8"/>
      <c r="AR8"/>
      <c r="AS8"/>
      <c r="AT8"/>
      <c r="AU8"/>
      <c r="AV8"/>
      <c r="AW8"/>
      <c r="AX8"/>
      <c r="AY8"/>
      <c r="AZ8"/>
      <c r="BA8"/>
      <c r="BB8"/>
      <c r="BC8"/>
      <c r="BD8"/>
      <c r="BE8"/>
    </row>
    <row r="9" spans="2:57" ht="27" customHeight="1" thickBot="1" x14ac:dyDescent="0.25">
      <c r="B9" s="845"/>
      <c r="C9" s="851"/>
      <c r="D9" s="848"/>
      <c r="E9" s="650" t="s">
        <v>26</v>
      </c>
      <c r="F9" s="650" t="s">
        <v>293</v>
      </c>
      <c r="G9" s="651" t="s">
        <v>26</v>
      </c>
      <c r="H9" s="650" t="s">
        <v>293</v>
      </c>
      <c r="I9" s="651" t="s">
        <v>26</v>
      </c>
      <c r="J9" s="650" t="s">
        <v>293</v>
      </c>
      <c r="K9" s="835"/>
      <c r="L9" s="842"/>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v>1614.05</v>
      </c>
      <c r="AF9" s="771">
        <v>1610.88</v>
      </c>
      <c r="AG9" s="771"/>
      <c r="AH9" s="771"/>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v>1601.39</v>
      </c>
      <c r="AF10" s="771">
        <v>1610.7</v>
      </c>
      <c r="AG10" s="771"/>
      <c r="AH10" s="771"/>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55.77</v>
      </c>
      <c r="H11" s="521">
        <v>31.143999999999998</v>
      </c>
      <c r="I11" s="521">
        <v>55.12</v>
      </c>
      <c r="J11" s="731">
        <v>27.443999999999999</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v>1597.18</v>
      </c>
      <c r="AF11" s="771">
        <v>1603.66</v>
      </c>
      <c r="AG11" s="771"/>
      <c r="AH11" s="771"/>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338.89</v>
      </c>
      <c r="H12" s="529">
        <v>7.26</v>
      </c>
      <c r="I12" s="528">
        <v>339.54</v>
      </c>
      <c r="J12" s="732">
        <v>7.8</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v>1590.37</v>
      </c>
      <c r="AF12" s="771">
        <v>1601.65</v>
      </c>
      <c r="AG12" s="771"/>
      <c r="AH12" s="771"/>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74.11</v>
      </c>
      <c r="H13" s="529">
        <v>29.640999999999998</v>
      </c>
      <c r="I13" s="528">
        <v>76.86</v>
      </c>
      <c r="J13" s="732">
        <v>44.915999999999997</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v>1572.99</v>
      </c>
      <c r="AF13" s="771">
        <v>1598.33</v>
      </c>
      <c r="AG13" s="771"/>
      <c r="AH13" s="771"/>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462.04</v>
      </c>
      <c r="H14" s="530">
        <v>29.623000000000001</v>
      </c>
      <c r="I14" s="520">
        <v>462.2</v>
      </c>
      <c r="J14" s="733">
        <v>32.317999999999998</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v>1557.11</v>
      </c>
      <c r="AF14" s="771">
        <v>1588.47</v>
      </c>
      <c r="AG14" s="771"/>
      <c r="AH14" s="771"/>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205.82</v>
      </c>
      <c r="H15" s="532">
        <v>8.2189999999999994</v>
      </c>
      <c r="I15" s="672">
        <v>207.02</v>
      </c>
      <c r="J15" s="734">
        <v>9.5299999999999994</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v>1557.52</v>
      </c>
      <c r="AF15" s="771">
        <v>1585.34</v>
      </c>
      <c r="AG15" s="771"/>
      <c r="AH15" s="771"/>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318.05</v>
      </c>
      <c r="H16" s="533">
        <v>4.2510000000000003</v>
      </c>
      <c r="I16" s="672">
        <v>320.02</v>
      </c>
      <c r="J16" s="734">
        <v>5.1609999999999996</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v>1555.49</v>
      </c>
      <c r="AF16" s="771">
        <v>1577.42</v>
      </c>
      <c r="AG16" s="771"/>
      <c r="AH16" s="771"/>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87.8</v>
      </c>
      <c r="H17" s="533">
        <v>580.92600000000004</v>
      </c>
      <c r="I17" s="672">
        <v>89.28</v>
      </c>
      <c r="J17" s="734">
        <v>647.80700000000002</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v>1553.68</v>
      </c>
      <c r="AF17" s="771">
        <v>1610.7</v>
      </c>
      <c r="AG17" s="771"/>
      <c r="AH17" s="771"/>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119.21</v>
      </c>
      <c r="H18" s="533">
        <v>1.532</v>
      </c>
      <c r="I18" s="534">
        <v>119.97</v>
      </c>
      <c r="J18" s="735">
        <v>1.556</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v>1546.56</v>
      </c>
      <c r="AF18" s="771">
        <v>1603.66</v>
      </c>
      <c r="AG18" s="771"/>
      <c r="AH18" s="771"/>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119</v>
      </c>
      <c r="H19" s="535">
        <v>1.4830000000000001</v>
      </c>
      <c r="I19" s="672">
        <v>119.68</v>
      </c>
      <c r="J19" s="734">
        <v>1.2010000000000001</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v>1539.58</v>
      </c>
      <c r="AF19" s="771">
        <v>1601.65</v>
      </c>
      <c r="AG19" s="771"/>
      <c r="AH19" s="771"/>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43.8</v>
      </c>
      <c r="H20" s="533">
        <v>2.5009999999999999</v>
      </c>
      <c r="I20" s="672">
        <v>46.51</v>
      </c>
      <c r="J20" s="734">
        <v>4.2060000000000004</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v>1533.54</v>
      </c>
      <c r="AF20" s="771">
        <v>1598.33</v>
      </c>
      <c r="AG20" s="771"/>
      <c r="AH20" s="771"/>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47.84</v>
      </c>
      <c r="H21" s="533">
        <v>1.8160000000000001</v>
      </c>
      <c r="I21" s="673">
        <v>51.45</v>
      </c>
      <c r="J21" s="734">
        <v>2.548</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v>1533.83</v>
      </c>
      <c r="AF21" s="771">
        <v>1588.47</v>
      </c>
      <c r="AG21" s="771"/>
      <c r="AH21" s="771"/>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78.319999999999993</v>
      </c>
      <c r="H22" s="620">
        <v>0.65900000000000003</v>
      </c>
      <c r="I22" s="672">
        <v>77.150000000000006</v>
      </c>
      <c r="J22" s="734">
        <v>0.78100000000000003</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v>1533.28</v>
      </c>
      <c r="AF22" s="771">
        <v>1585.34</v>
      </c>
      <c r="AG22" s="771"/>
      <c r="AH22" s="771"/>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82</v>
      </c>
      <c r="H23" s="533">
        <v>0.30299999999999999</v>
      </c>
      <c r="I23" s="672">
        <v>81.56</v>
      </c>
      <c r="J23" s="734">
        <v>5.8999999999999997E-2</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v>1531.06</v>
      </c>
      <c r="AF23" s="771">
        <v>1577.42</v>
      </c>
      <c r="AG23" s="771"/>
      <c r="AH23" s="771"/>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70.150000000000006</v>
      </c>
      <c r="H24" s="533">
        <v>0.26400000000000001</v>
      </c>
      <c r="I24" s="672">
        <v>63.61</v>
      </c>
      <c r="J24" s="734">
        <v>0.20599999999999999</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v>1529.67</v>
      </c>
      <c r="AF24" s="771">
        <v>1547.9</v>
      </c>
      <c r="AG24" s="771"/>
      <c r="AH24" s="771"/>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44.99</v>
      </c>
      <c r="H25" s="533">
        <v>9.8000000000000004E-2</v>
      </c>
      <c r="I25" s="672">
        <v>45.66</v>
      </c>
      <c r="J25" s="734">
        <v>0.20399999999999999</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v>1535.57</v>
      </c>
      <c r="AF25" s="771">
        <v>1543.19</v>
      </c>
      <c r="AG25" s="771"/>
      <c r="AH25" s="771"/>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136</v>
      </c>
      <c r="H26" s="530">
        <v>366.13600000000002</v>
      </c>
      <c r="I26" s="528">
        <v>135.96</v>
      </c>
      <c r="J26" s="740">
        <v>363.98</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v>1536.02</v>
      </c>
      <c r="AF26" s="771">
        <v>1537.59</v>
      </c>
      <c r="AG26" s="771"/>
      <c r="AH26" s="771"/>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112.1</v>
      </c>
      <c r="H27" s="530">
        <v>1.728</v>
      </c>
      <c r="I27" s="537">
        <v>111.65</v>
      </c>
      <c r="J27" s="740">
        <v>1.5620000000000001</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v>1539.87</v>
      </c>
      <c r="AF27" s="771">
        <v>1532.73</v>
      </c>
      <c r="AG27" s="771"/>
      <c r="AH27" s="771"/>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203.11</v>
      </c>
      <c r="H28" s="530">
        <v>0.23300000000000001</v>
      </c>
      <c r="I28" s="528">
        <v>203</v>
      </c>
      <c r="J28" s="740">
        <v>0.222</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v>1559.48</v>
      </c>
      <c r="AF28" s="771">
        <v>1528.02</v>
      </c>
      <c r="AG28" s="771"/>
      <c r="AH28" s="771"/>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223.14</v>
      </c>
      <c r="H29" s="530">
        <v>0.35399999999999998</v>
      </c>
      <c r="I29" s="537">
        <v>223.38</v>
      </c>
      <c r="J29" s="741">
        <v>0.372</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v>1564.87</v>
      </c>
      <c r="AF29" s="771">
        <v>1523.79</v>
      </c>
      <c r="AG29" s="771"/>
      <c r="AH29" s="771"/>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195</v>
      </c>
      <c r="H30" s="528">
        <v>0.58399999999999996</v>
      </c>
      <c r="I30" s="537">
        <v>195.63</v>
      </c>
      <c r="J30" s="740">
        <v>0.7</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v>1566.35</v>
      </c>
      <c r="AF30" s="771">
        <v>1552</v>
      </c>
      <c r="AG30" s="771"/>
      <c r="AH30" s="771"/>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170.57</v>
      </c>
      <c r="H31" s="530">
        <v>0.16300000000000001</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v>1568</v>
      </c>
      <c r="AF31" s="771"/>
      <c r="AG31" s="771"/>
      <c r="AH31" s="771"/>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227.7</v>
      </c>
      <c r="H32" s="538">
        <v>0.59199999999999997</v>
      </c>
      <c r="I32" s="539">
        <v>227.99</v>
      </c>
      <c r="J32" s="742">
        <v>0.621</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v>1576.61</v>
      </c>
      <c r="AF32" s="771"/>
      <c r="AG32" s="771"/>
      <c r="AH32" s="771"/>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248.2</v>
      </c>
      <c r="H33" s="530">
        <v>1.5669999999999999</v>
      </c>
      <c r="I33" s="537">
        <v>248.6</v>
      </c>
      <c r="J33" s="741">
        <v>1.679</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v>1579.86</v>
      </c>
      <c r="AF33" s="771"/>
      <c r="AG33" s="771"/>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149.35</v>
      </c>
      <c r="H34" s="530">
        <v>2.7919999999999998</v>
      </c>
      <c r="I34" s="530">
        <v>146</v>
      </c>
      <c r="J34" s="741">
        <v>1.1419999999999999</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v>1517.22</v>
      </c>
      <c r="AE34" s="771">
        <v>1591.91</v>
      </c>
      <c r="AF34" s="771"/>
      <c r="AG34" s="771"/>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204.86</v>
      </c>
      <c r="H35" s="540">
        <v>3.2320000000000002</v>
      </c>
      <c r="I35" s="528">
        <v>204.46</v>
      </c>
      <c r="J35" s="740">
        <v>2.992</v>
      </c>
      <c r="K35" s="522" t="s">
        <v>187</v>
      </c>
      <c r="L35" s="523">
        <f t="shared" si="0"/>
        <v>0</v>
      </c>
      <c r="M35" s="798">
        <f>(((J35/H35)*100)/100)*F35</f>
        <v>3.0651336633663364</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v>1599.95</v>
      </c>
      <c r="AF35" s="771"/>
      <c r="AG35" s="771"/>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325.3</v>
      </c>
      <c r="H36" s="540">
        <v>0.622</v>
      </c>
      <c r="I36" s="537">
        <v>324.16000000000003</v>
      </c>
      <c r="J36" s="741">
        <v>0.51400000000000001</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v>1592.39</v>
      </c>
      <c r="AF36" s="771"/>
      <c r="AG36" s="771"/>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129</v>
      </c>
      <c r="H37" s="530">
        <v>0.68300000000000005</v>
      </c>
      <c r="I37" s="537">
        <v>129.02000000000001</v>
      </c>
      <c r="J37" s="740">
        <v>0.68300000000000005</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v>1590.24</v>
      </c>
      <c r="AF37" s="775"/>
      <c r="AG37" s="771"/>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282.7</v>
      </c>
      <c r="H38" s="530">
        <v>0.45800000000000002</v>
      </c>
      <c r="I38" s="528">
        <v>282.82</v>
      </c>
      <c r="J38" s="740">
        <v>0.46800000000000003</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98.43</v>
      </c>
      <c r="H39" s="530">
        <v>2.472</v>
      </c>
      <c r="I39" s="537">
        <v>98.84</v>
      </c>
      <c r="J39" s="741">
        <v>2.7770000000000001</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f>IF(AD43&gt;$BV$62,"tad",IF(AD45&gt;$BV$62,"tad",MAX(AD7:AD37)))</f>
        <v>1518.81</v>
      </c>
      <c r="AE39" s="783">
        <f>IF(AE43&gt;$BV$62,"tad",IF(AE45&gt;$BV$62,"tad",MAX(AE7:AE37)))</f>
        <v>1614.05</v>
      </c>
      <c r="AF39" s="783" t="str">
        <f t="shared" ref="AF39:AN40" si="3">IF(AF43&gt;$BV$62,"tad",IF(AF45&gt;$BV$62,"tad",MAX(AF7:AF37)))</f>
        <v>tad</v>
      </c>
      <c r="AG39" s="783" t="str">
        <f t="shared" si="3"/>
        <v>tad</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189.5</v>
      </c>
      <c r="H40" s="530">
        <v>7.5999999999999998E-2</v>
      </c>
      <c r="I40" s="537">
        <v>189.61</v>
      </c>
      <c r="J40" s="741">
        <v>7.8E-2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f t="shared" si="5"/>
        <v>1384.3014285714285</v>
      </c>
      <c r="AE40" s="787">
        <f>IF(AE43&gt;$BV$62,"tad",IF(AE45&gt;$BV$62,"tad",AVERAGE(AE7:AE37)))</f>
        <v>1563.3158064516131</v>
      </c>
      <c r="AF40" s="788" t="str">
        <f t="shared" si="5"/>
        <v>tad</v>
      </c>
      <c r="AG40" s="788" t="str">
        <f t="shared" si="5"/>
        <v>tad</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171.2</v>
      </c>
      <c r="H41" s="541">
        <v>9.7000000000000003E-2</v>
      </c>
      <c r="I41" s="537">
        <v>170.34</v>
      </c>
      <c r="J41" s="741">
        <v>7.5999999999999998E-2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f t="shared" si="7"/>
        <v>1145.04</v>
      </c>
      <c r="AE41" s="792">
        <f t="shared" si="7"/>
        <v>1529.67</v>
      </c>
      <c r="AF41" s="793" t="str">
        <f t="shared" si="7"/>
        <v>tad</v>
      </c>
      <c r="AG41" s="793" t="str">
        <f t="shared" si="7"/>
        <v>tad</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139.44999999999999</v>
      </c>
      <c r="H42" s="530">
        <v>6.782</v>
      </c>
      <c r="I42" s="528">
        <v>140.04</v>
      </c>
      <c r="J42" s="743">
        <v>8.3780000000000001</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f t="shared" si="9"/>
        <v>1564.5106666666668</v>
      </c>
      <c r="AF42" s="783">
        <f t="shared" si="9"/>
        <v>1598.8606666666669</v>
      </c>
      <c r="AG42" s="783" t="str">
        <f t="shared" si="9"/>
        <v>tad</v>
      </c>
      <c r="AH42" s="783" t="str">
        <f t="shared" si="9"/>
        <v>tad</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237.93</v>
      </c>
      <c r="H43" s="541">
        <v>1.8240000000000001</v>
      </c>
      <c r="I43" s="528">
        <v>239.1</v>
      </c>
      <c r="J43" s="743">
        <v>2.468</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0</v>
      </c>
      <c r="AF43" s="792">
        <f t="shared" si="10"/>
        <v>0</v>
      </c>
      <c r="AG43" s="792">
        <f t="shared" si="10"/>
        <v>15</v>
      </c>
      <c r="AH43" s="792">
        <f t="shared" si="10"/>
        <v>15</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120.25</v>
      </c>
      <c r="H44" s="530">
        <v>3.2050000000000001</v>
      </c>
      <c r="I44" s="528">
        <v>120.58</v>
      </c>
      <c r="J44" s="740">
        <v>3.83</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f t="shared" ref="AD44:AN44" si="12">IF(AD45&gt;$BV$62,"tad",AVERAGE(AD22:AD37))</f>
        <v>1502.3138461538463</v>
      </c>
      <c r="AE44" s="782">
        <f t="shared" si="12"/>
        <v>1562.1956250000001</v>
      </c>
      <c r="AF44" s="782" t="str">
        <f t="shared" si="12"/>
        <v>tad</v>
      </c>
      <c r="AG44" s="782" t="str">
        <f t="shared" si="12"/>
        <v>tad</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110.36</v>
      </c>
      <c r="H45" s="530">
        <v>2.371</v>
      </c>
      <c r="I45" s="528">
        <v>110.53</v>
      </c>
      <c r="J45" s="740">
        <v>2.6930000000000001</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0</v>
      </c>
      <c r="AE45" s="792">
        <f t="shared" si="13"/>
        <v>0</v>
      </c>
      <c r="AF45" s="792">
        <f t="shared" si="13"/>
        <v>6</v>
      </c>
      <c r="AG45" s="792">
        <f t="shared" si="13"/>
        <v>16</v>
      </c>
      <c r="AH45" s="792">
        <f t="shared" si="13"/>
        <v>15</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69.33</v>
      </c>
      <c r="H46" s="520">
        <v>29.43</v>
      </c>
      <c r="I46" s="528">
        <v>65.91</v>
      </c>
      <c r="J46" s="736">
        <v>22.79</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183.92</v>
      </c>
      <c r="H47" s="529">
        <v>377.56</v>
      </c>
      <c r="I47" s="528">
        <v>175.79</v>
      </c>
      <c r="J47" s="736">
        <v>297.42</v>
      </c>
      <c r="K47" s="522" t="s">
        <v>188</v>
      </c>
      <c r="L47" s="523">
        <f t="shared" si="0"/>
        <v>0</v>
      </c>
      <c r="M47" s="800"/>
      <c r="AB47" s="826" t="s">
        <v>334</v>
      </c>
      <c r="AC47" s="827"/>
      <c r="AD47" s="827"/>
      <c r="AE47" s="827"/>
      <c r="AF47" s="827"/>
      <c r="AG47" s="827"/>
      <c r="AH47" s="827"/>
      <c r="AI47" s="827"/>
      <c r="AJ47" s="827"/>
      <c r="AK47" s="827"/>
      <c r="AL47" s="827"/>
      <c r="AM47" s="827"/>
      <c r="AN47" s="827"/>
      <c r="AO47" s="828"/>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229.2</v>
      </c>
      <c r="H48" s="529">
        <v>6.5439999999999996</v>
      </c>
      <c r="I48" s="528">
        <v>229.61</v>
      </c>
      <c r="J48" s="736">
        <v>8.5619999999999994</v>
      </c>
      <c r="K48" s="522" t="s">
        <v>189</v>
      </c>
      <c r="L48" s="523">
        <f t="shared" si="0"/>
        <v>0</v>
      </c>
      <c r="M48" s="662"/>
      <c r="N48" s="389"/>
      <c r="AB48" s="821"/>
      <c r="AC48" s="822"/>
      <c r="AD48" s="822"/>
      <c r="AE48" s="822"/>
      <c r="AF48" s="822"/>
      <c r="AG48" s="822"/>
      <c r="AH48" s="822"/>
      <c r="AI48" s="822"/>
      <c r="AJ48" s="822"/>
      <c r="AK48" s="822"/>
      <c r="AL48" s="822"/>
      <c r="AM48" s="822"/>
      <c r="AN48" s="822"/>
      <c r="AO48" s="823"/>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149.24</v>
      </c>
      <c r="H49" s="527">
        <v>10.34</v>
      </c>
      <c r="I49" s="526">
        <v>149.41</v>
      </c>
      <c r="J49" s="737">
        <v>11.03</v>
      </c>
      <c r="K49" s="522" t="s">
        <v>215</v>
      </c>
      <c r="L49" s="523">
        <f t="shared" si="0"/>
        <v>0</v>
      </c>
      <c r="M49" s="802"/>
      <c r="AB49" s="434"/>
      <c r="AC49" s="427"/>
      <c r="AD49" s="427"/>
      <c r="AE49" s="427"/>
      <c r="AF49" s="427"/>
      <c r="AG49" s="427"/>
      <c r="AH49" s="427"/>
      <c r="AI49" s="427"/>
      <c r="AJ49" s="427"/>
      <c r="AK49" s="427"/>
      <c r="AL49" s="427"/>
      <c r="AM49" s="427"/>
      <c r="AN49" s="427"/>
      <c r="AO49" s="433"/>
      <c r="AP49">
        <f>MAX(AC7:AN37)</f>
        <v>1614.05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39.020000000000003</v>
      </c>
      <c r="J50" s="738">
        <v>0.47299999999999998</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15</v>
      </c>
      <c r="AU51">
        <f t="shared" si="14"/>
        <v>15</v>
      </c>
      <c r="AV51">
        <f t="shared" si="14"/>
        <v>0</v>
      </c>
      <c r="AW51">
        <f t="shared" si="14"/>
        <v>0</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1520.7050000000002</v>
      </c>
      <c r="I52" s="548"/>
      <c r="J52" s="550">
        <f>SUM(J11:J51)</f>
        <v>1522</v>
      </c>
      <c r="K52" s="551"/>
      <c r="L52" s="552"/>
      <c r="M52" s="804"/>
      <c r="AB52" s="434"/>
      <c r="AC52" s="427"/>
      <c r="AD52" s="427"/>
      <c r="AE52" s="427"/>
      <c r="AF52" s="427"/>
      <c r="AG52" s="427"/>
      <c r="AH52" s="427"/>
      <c r="AI52" s="427"/>
      <c r="AJ52" s="427"/>
      <c r="AK52" s="427"/>
      <c r="AL52" s="427"/>
      <c r="AM52" s="427"/>
      <c r="AN52" s="427"/>
      <c r="AO52" s="433"/>
      <c r="AP52" s="274">
        <f>COUNT(AC42:AN42)</f>
        <v>3</v>
      </c>
      <c r="AQ52" t="s">
        <v>200</v>
      </c>
      <c r="AR52">
        <f t="shared" ref="AR52:BC52" si="15">AR50-AR51</f>
        <v>2</v>
      </c>
      <c r="AS52">
        <f t="shared" si="15"/>
        <v>0</v>
      </c>
      <c r="AT52">
        <f t="shared" si="15"/>
        <v>0</v>
      </c>
      <c r="AU52">
        <f t="shared" si="15"/>
        <v>0</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1.0008515787085595</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31">
        <v>1</v>
      </c>
      <c r="G54" s="831">
        <f>+H52/F52*100%</f>
        <v>0.8652568466305357</v>
      </c>
      <c r="H54" s="831"/>
      <c r="I54" s="832">
        <f>+J52/F52</f>
        <v>0.86599368093856144</v>
      </c>
      <c r="J54" s="832"/>
      <c r="K54" s="831"/>
      <c r="L54" s="831"/>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31"/>
      <c r="G55" s="831"/>
      <c r="H55" s="831"/>
      <c r="I55" s="832"/>
      <c r="J55" s="832"/>
      <c r="K55" s="831"/>
      <c r="L55" s="831"/>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23</v>
      </c>
      <c r="G57" s="566" t="s">
        <v>259</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3</v>
      </c>
      <c r="AQ57" t="s">
        <v>199</v>
      </c>
      <c r="AR57">
        <f t="shared" ref="AR57:BC57" si="16">COUNT(AC22:AC37)</f>
        <v>16</v>
      </c>
      <c r="AS57">
        <f t="shared" si="16"/>
        <v>13</v>
      </c>
      <c r="AT57">
        <f t="shared" si="16"/>
        <v>16</v>
      </c>
      <c r="AU57">
        <f t="shared" si="16"/>
        <v>9</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60" t="s">
        <v>20</v>
      </c>
      <c r="F58" s="861"/>
      <c r="G58" s="860" t="s">
        <v>94</v>
      </c>
      <c r="H58" s="861"/>
      <c r="I58" s="860" t="s">
        <v>22</v>
      </c>
      <c r="J58" s="861"/>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0</v>
      </c>
      <c r="AT58">
        <f t="shared" si="17"/>
        <v>0</v>
      </c>
      <c r="AU58">
        <f t="shared" si="17"/>
        <v>6</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253</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55.77</v>
      </c>
      <c r="H62" s="256">
        <v>31.143999999999998</v>
      </c>
      <c r="I62" s="256">
        <v>55.15</v>
      </c>
      <c r="J62" s="256">
        <v>27.613</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338.89</v>
      </c>
      <c r="H63" s="297">
        <v>7.26</v>
      </c>
      <c r="I63" s="257">
        <v>339.53</v>
      </c>
      <c r="J63" s="297">
        <v>7.7919999999999998</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74.11</v>
      </c>
      <c r="H64" s="297">
        <v>29.640999999999998</v>
      </c>
      <c r="I64" s="257">
        <v>76.92</v>
      </c>
      <c r="J64" s="297">
        <v>45.287999999999997</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462.04</v>
      </c>
      <c r="H65" s="329">
        <v>29.623000000000001</v>
      </c>
      <c r="I65" s="315">
        <v>462.2</v>
      </c>
      <c r="J65" s="297">
        <v>32.317999999999998</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205.82</v>
      </c>
      <c r="H66" s="258">
        <v>8.2189999999999994</v>
      </c>
      <c r="I66" s="664">
        <v>207.02</v>
      </c>
      <c r="J66" s="256">
        <v>9.5299999999999994</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318.05</v>
      </c>
      <c r="H67" s="258">
        <v>4.2510000000000003</v>
      </c>
      <c r="I67" s="671">
        <v>320.02</v>
      </c>
      <c r="J67" s="728">
        <v>5.1609999999999996</v>
      </c>
      <c r="K67" s="312" t="str">
        <f>IF(I67&gt;E67,"Limpas","")</f>
        <v>Limpas</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87.8</v>
      </c>
      <c r="H68" s="257">
        <v>580.92600000000004</v>
      </c>
      <c r="I68" s="664">
        <v>89.32</v>
      </c>
      <c r="J68" s="297">
        <v>649.73900000000003</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119.21</v>
      </c>
      <c r="H69" s="297">
        <v>1.532</v>
      </c>
      <c r="I69" s="331">
        <v>119.97</v>
      </c>
      <c r="J69" s="256">
        <v>1.556</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119</v>
      </c>
      <c r="H70" s="297">
        <v>1.4830000000000001</v>
      </c>
      <c r="I70" s="664">
        <v>119.66</v>
      </c>
      <c r="J70" s="256">
        <v>1.272</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43.8</v>
      </c>
      <c r="H71" s="257">
        <v>2.5009999999999999</v>
      </c>
      <c r="I71" s="664">
        <v>46.51</v>
      </c>
      <c r="J71" s="256">
        <v>4.2060000000000004</v>
      </c>
      <c r="K71" s="312" t="str">
        <f>IF(I71&gt;E71,"Limpas","")</f>
        <v>Limpas</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47.84</v>
      </c>
      <c r="H72" s="257">
        <v>1.8160000000000001</v>
      </c>
      <c r="I72" s="668">
        <v>51.45</v>
      </c>
      <c r="J72" s="256">
        <v>2.548</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78.319999999999993</v>
      </c>
      <c r="H73" s="620">
        <v>0.65900000000000003</v>
      </c>
      <c r="I73" s="664">
        <v>77.16</v>
      </c>
      <c r="J73" s="256">
        <v>0.78200000000000003</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82</v>
      </c>
      <c r="H74" s="297">
        <v>0.30299999999999999</v>
      </c>
      <c r="I74" s="664">
        <v>81.59</v>
      </c>
      <c r="J74" s="256">
        <v>6.0999999999999999E-2</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70.150000000000006</v>
      </c>
      <c r="H75" s="257">
        <v>0.26400000000000001</v>
      </c>
      <c r="I75" s="671">
        <v>63.63</v>
      </c>
      <c r="J75" s="728">
        <v>0.20799999999999999</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44.99</v>
      </c>
      <c r="H76" s="297">
        <v>9.8000000000000004E-2</v>
      </c>
      <c r="I76" s="664">
        <v>45.72</v>
      </c>
      <c r="J76" s="256">
        <v>0.21099999999999999</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136</v>
      </c>
      <c r="H77" s="257">
        <v>366.13600000000002</v>
      </c>
      <c r="I77" s="257">
        <v>135.96</v>
      </c>
      <c r="J77" s="718">
        <v>363.98</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112.1</v>
      </c>
      <c r="H78" s="257">
        <v>1.728</v>
      </c>
      <c r="I78" s="258">
        <v>111.73</v>
      </c>
      <c r="J78" s="718">
        <v>1.581</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203.11</v>
      </c>
      <c r="H79" s="257">
        <v>0.23300000000000001</v>
      </c>
      <c r="I79" s="257">
        <v>203</v>
      </c>
      <c r="J79" s="718">
        <v>0.222</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223.14</v>
      </c>
      <c r="H80" s="257">
        <v>0.35399999999999998</v>
      </c>
      <c r="I80" s="258">
        <v>223.37</v>
      </c>
      <c r="J80" s="719">
        <v>0.371</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195</v>
      </c>
      <c r="H81" s="257">
        <v>0.58399999999999996</v>
      </c>
      <c r="I81" s="258">
        <v>195.69</v>
      </c>
      <c r="J81" s="718">
        <v>0.71099999999999997</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170.57</v>
      </c>
      <c r="H82" s="257">
        <v>0.16300000000000001</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227.7</v>
      </c>
      <c r="H83" s="256">
        <v>0.59199999999999997</v>
      </c>
      <c r="I83" s="368">
        <v>228.12</v>
      </c>
      <c r="J83" s="720">
        <v>0.63300000000000001</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248.2</v>
      </c>
      <c r="H84" s="257">
        <v>1.5669999999999999</v>
      </c>
      <c r="I84" s="258">
        <v>248.64</v>
      </c>
      <c r="J84" s="719">
        <v>1.69</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149.35</v>
      </c>
      <c r="H85" s="257">
        <v>2.7919999999999998</v>
      </c>
      <c r="I85" s="257">
        <v>146</v>
      </c>
      <c r="J85" s="719">
        <v>1.1419999999999999</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204.86</v>
      </c>
      <c r="H86" s="258">
        <v>3.2320000000000002</v>
      </c>
      <c r="I86" s="257">
        <v>204.48</v>
      </c>
      <c r="J86" s="718">
        <v>3.004</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325.3</v>
      </c>
      <c r="H87" s="258">
        <v>0.622</v>
      </c>
      <c r="I87" s="258">
        <v>324.27999999999997</v>
      </c>
      <c r="J87" s="719">
        <v>0.52600000000000002</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129</v>
      </c>
      <c r="H88" s="257">
        <v>0.68300000000000005</v>
      </c>
      <c r="I88" s="258">
        <v>129.02000000000001</v>
      </c>
      <c r="J88" s="718">
        <v>0.68300000000000005</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282.7</v>
      </c>
      <c r="H89" s="257">
        <v>0.45800000000000002</v>
      </c>
      <c r="I89" s="257">
        <v>282.75</v>
      </c>
      <c r="J89" s="718">
        <v>0.46300000000000002</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98.43</v>
      </c>
      <c r="H90" s="257">
        <v>2.472</v>
      </c>
      <c r="I90" s="258">
        <v>98.86</v>
      </c>
      <c r="J90" s="719">
        <v>2.7839999999999998</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189.5</v>
      </c>
      <c r="H91" s="257">
        <v>7.5999999999999998E-2</v>
      </c>
      <c r="I91" s="258">
        <v>189.61</v>
      </c>
      <c r="J91" s="719">
        <v>7.8E-2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171.2</v>
      </c>
      <c r="H92" s="297">
        <v>9.7000000000000003E-2</v>
      </c>
      <c r="I92" s="258">
        <v>170.21</v>
      </c>
      <c r="J92" s="719">
        <v>7.2999999999999995E-2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139.44999999999999</v>
      </c>
      <c r="H93" s="257">
        <v>6.782</v>
      </c>
      <c r="I93" s="257">
        <v>140.05000000000001</v>
      </c>
      <c r="J93" s="721">
        <v>8.4079999999999995</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237.93</v>
      </c>
      <c r="H94" s="297">
        <v>1.8240000000000001</v>
      </c>
      <c r="I94" s="257">
        <v>239.1</v>
      </c>
      <c r="J94" s="721">
        <v>2.468</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120.25</v>
      </c>
      <c r="H95" s="257">
        <v>3.2050000000000001</v>
      </c>
      <c r="I95" s="257">
        <v>120.58</v>
      </c>
      <c r="J95" s="718">
        <v>3.83</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110.36</v>
      </c>
      <c r="H96" s="257">
        <v>2.371</v>
      </c>
      <c r="I96" s="257">
        <v>110.53</v>
      </c>
      <c r="J96" s="718">
        <v>2.6930000000000001</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69.33</v>
      </c>
      <c r="H97" s="297">
        <v>29.43</v>
      </c>
      <c r="I97" s="257">
        <v>65.87</v>
      </c>
      <c r="J97" s="721">
        <v>22.72</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183.92</v>
      </c>
      <c r="H98" s="297">
        <v>377.56</v>
      </c>
      <c r="I98" s="421">
        <v>175.69</v>
      </c>
      <c r="J98" s="727">
        <v>296.49</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229.19</v>
      </c>
      <c r="H99" s="297">
        <v>6.4980000000000002</v>
      </c>
      <c r="I99" s="257">
        <v>229.63</v>
      </c>
      <c r="J99" s="297">
        <v>8.6669999999999998</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149.24</v>
      </c>
      <c r="H100" s="333">
        <v>10.34</v>
      </c>
      <c r="I100" s="665">
        <v>149.43</v>
      </c>
      <c r="J100" s="716">
        <v>11.06</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39.020000000000003</v>
      </c>
      <c r="J101" s="721">
        <v>0.47299999999999998</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1451.4739999999997</v>
      </c>
      <c r="I103" s="319"/>
      <c r="J103" s="281">
        <f>SUM(J62:J102)</f>
        <v>1523.7880000000002</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1.0498210784347501</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0.80020288943989659</v>
      </c>
      <c r="I105" s="326"/>
      <c r="J105" s="267">
        <f>+J103/F103</f>
        <v>0.84006986035839537</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22</v>
      </c>
      <c r="G107" s="566" t="s">
        <v>259</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60" t="s">
        <v>20</v>
      </c>
      <c r="F108" s="861"/>
      <c r="G108" s="860" t="s">
        <v>94</v>
      </c>
      <c r="H108" s="861"/>
      <c r="I108" s="860" t="s">
        <v>22</v>
      </c>
      <c r="J108" s="861"/>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55.77</v>
      </c>
      <c r="H112" s="256">
        <v>31.143999999999998</v>
      </c>
      <c r="I112" s="256">
        <v>55.17</v>
      </c>
      <c r="J112" s="256">
        <v>27.725999999999999</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338.89</v>
      </c>
      <c r="H113" s="297">
        <v>7.26</v>
      </c>
      <c r="I113" s="257">
        <v>339.54</v>
      </c>
      <c r="J113" s="297">
        <v>7.8</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74.11</v>
      </c>
      <c r="H114" s="297">
        <v>29.640999999999998</v>
      </c>
      <c r="I114" s="257">
        <v>76.97</v>
      </c>
      <c r="J114" s="297">
        <v>45.6</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462.04</v>
      </c>
      <c r="H115" s="329">
        <v>29.623000000000001</v>
      </c>
      <c r="I115" s="315">
        <v>462.2</v>
      </c>
      <c r="J115" s="297">
        <v>32.317999999999998</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205.82</v>
      </c>
      <c r="H116" s="258">
        <v>8.2189999999999994</v>
      </c>
      <c r="I116" s="664">
        <v>207.02</v>
      </c>
      <c r="J116" s="718">
        <v>9.5299999999999994</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318.05</v>
      </c>
      <c r="H117" s="258">
        <v>4.2510000000000003</v>
      </c>
      <c r="I117" s="664">
        <v>320.02</v>
      </c>
      <c r="J117" s="718">
        <v>5.1609999999999996</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87.8</v>
      </c>
      <c r="H118" s="257">
        <v>580.92600000000004</v>
      </c>
      <c r="I118" s="664">
        <v>89.35</v>
      </c>
      <c r="J118" s="718">
        <v>651.19100000000003</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119.21</v>
      </c>
      <c r="H119" s="297">
        <v>1.532</v>
      </c>
      <c r="I119" s="331">
        <v>119.97</v>
      </c>
      <c r="J119" s="718">
        <v>1.556</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119</v>
      </c>
      <c r="H120" s="297">
        <v>1.4830000000000001</v>
      </c>
      <c r="I120" s="664">
        <v>119.66</v>
      </c>
      <c r="J120" s="718">
        <v>1.272</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43.8</v>
      </c>
      <c r="H121" s="257">
        <v>2.5009999999999999</v>
      </c>
      <c r="I121" s="664">
        <v>46.51</v>
      </c>
      <c r="J121" s="724">
        <v>4.2060000000000004</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47.84</v>
      </c>
      <c r="H122" s="257">
        <v>1.8160000000000001</v>
      </c>
      <c r="I122" s="668">
        <v>51.45</v>
      </c>
      <c r="J122" s="718">
        <v>2.548</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78.319999999999993</v>
      </c>
      <c r="H123" s="620">
        <v>0.65900000000000003</v>
      </c>
      <c r="I123" s="664">
        <v>77.180000000000007</v>
      </c>
      <c r="J123" s="718">
        <v>0.78600000000000003</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82</v>
      </c>
      <c r="H124" s="297">
        <v>0.30299999999999999</v>
      </c>
      <c r="I124" s="664">
        <v>81.59</v>
      </c>
      <c r="J124" s="718">
        <v>6.0999999999999999E-2</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70.150000000000006</v>
      </c>
      <c r="H125" s="257">
        <v>0.26400000000000001</v>
      </c>
      <c r="I125" s="664">
        <v>63.63</v>
      </c>
      <c r="J125" s="718">
        <v>0.20799999999999999</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44.99</v>
      </c>
      <c r="H126" s="297">
        <v>9.8000000000000004E-2</v>
      </c>
      <c r="I126" s="664">
        <v>45.72</v>
      </c>
      <c r="J126" s="718">
        <v>0.21099999999999999</v>
      </c>
      <c r="K126" s="312"/>
      <c r="L126" s="479"/>
      <c r="AB126"/>
      <c r="AC126"/>
      <c r="AD126"/>
      <c r="AE126"/>
      <c r="AF126"/>
      <c r="AG126"/>
      <c r="AH126"/>
      <c r="AI126"/>
      <c r="AJ126"/>
      <c r="AK126"/>
      <c r="AL126"/>
      <c r="AM126"/>
      <c r="AN126"/>
      <c r="AO126"/>
      <c r="AP126" s="271"/>
      <c r="AQ126" s="282">
        <f t="shared" si="21"/>
        <v>59</v>
      </c>
      <c r="AR126">
        <f t="shared" si="24"/>
        <v>1517.22</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136</v>
      </c>
      <c r="H127" s="257">
        <v>366.13600000000002</v>
      </c>
      <c r="I127" s="257">
        <v>135.97999999999999</v>
      </c>
      <c r="J127" s="718">
        <v>365.06</v>
      </c>
      <c r="K127" s="312"/>
      <c r="L127" s="482"/>
      <c r="M127" s="187"/>
      <c r="AB127"/>
      <c r="AC127"/>
      <c r="AD127"/>
      <c r="AE127"/>
      <c r="AF127"/>
      <c r="AG127"/>
      <c r="AH127"/>
      <c r="AI127"/>
      <c r="AJ127"/>
      <c r="AK127"/>
      <c r="AL127"/>
      <c r="AM127"/>
      <c r="AN127"/>
      <c r="AO127"/>
      <c r="AP127" s="271"/>
      <c r="AQ127" s="282">
        <f>AQ126+2</f>
        <v>61</v>
      </c>
      <c r="AR127">
        <f t="shared" ref="AR127:AR152" si="26">IF(AE7="tad","tad",AE7)</f>
        <v>1537.66</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112.1</v>
      </c>
      <c r="H128" s="257">
        <v>1.728</v>
      </c>
      <c r="I128" s="258">
        <v>111.78</v>
      </c>
      <c r="J128" s="718">
        <v>1.601</v>
      </c>
      <c r="K128" s="312"/>
      <c r="L128" s="482"/>
      <c r="M128" s="187"/>
      <c r="AB128"/>
      <c r="AC128"/>
      <c r="AD128"/>
      <c r="AE128"/>
      <c r="AF128"/>
      <c r="AG128"/>
      <c r="AH128"/>
      <c r="AI128"/>
      <c r="AJ128"/>
      <c r="AK128"/>
      <c r="AL128"/>
      <c r="AM128"/>
      <c r="AN128"/>
      <c r="AO128"/>
      <c r="AP128" s="271"/>
      <c r="AQ128" s="282">
        <f>AQ127+1</f>
        <v>62</v>
      </c>
      <c r="AR128">
        <f t="shared" si="26"/>
        <v>1576.71</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203.11</v>
      </c>
      <c r="H129" s="257">
        <v>0.23300000000000001</v>
      </c>
      <c r="I129" s="257">
        <v>203.1</v>
      </c>
      <c r="J129" s="718">
        <v>0.23200000000000001</v>
      </c>
      <c r="K129" s="312"/>
      <c r="L129" s="482"/>
      <c r="M129" s="187"/>
      <c r="AB129"/>
      <c r="AC129"/>
      <c r="AD129"/>
      <c r="AE129"/>
      <c r="AF129"/>
      <c r="AG129"/>
      <c r="AH129"/>
      <c r="AI129"/>
      <c r="AJ129"/>
      <c r="AK129"/>
      <c r="AL129"/>
      <c r="AM129"/>
      <c r="AN129"/>
      <c r="AO129"/>
      <c r="AP129" s="271"/>
      <c r="AQ129" s="282">
        <f>AQ128+1</f>
        <v>63</v>
      </c>
      <c r="AR129">
        <f t="shared" si="26"/>
        <v>1614.05</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223.14</v>
      </c>
      <c r="H130" s="257">
        <v>0.35399999999999998</v>
      </c>
      <c r="I130" s="258">
        <v>223.37</v>
      </c>
      <c r="J130" s="719">
        <v>0.371</v>
      </c>
      <c r="K130" s="312"/>
      <c r="L130" s="483"/>
      <c r="M130" s="187"/>
      <c r="AB130"/>
      <c r="AC130"/>
      <c r="AD130"/>
      <c r="AE130"/>
      <c r="AF130"/>
      <c r="AG130"/>
      <c r="AH130"/>
      <c r="AI130"/>
      <c r="AJ130"/>
      <c r="AK130"/>
      <c r="AL130"/>
      <c r="AM130"/>
      <c r="AN130"/>
      <c r="AO130"/>
      <c r="AP130" s="271"/>
      <c r="AQ130" s="282">
        <f>AQ129+1</f>
        <v>64</v>
      </c>
      <c r="AR130">
        <f t="shared" si="26"/>
        <v>1601.39</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195</v>
      </c>
      <c r="H131" s="257">
        <v>0.58399999999999996</v>
      </c>
      <c r="I131" s="258">
        <v>195.74</v>
      </c>
      <c r="J131" s="718">
        <v>0.72099999999999997</v>
      </c>
      <c r="K131" s="312"/>
      <c r="L131" s="482"/>
      <c r="M131" s="187"/>
      <c r="AB131"/>
      <c r="AC131"/>
      <c r="AD131"/>
      <c r="AE131"/>
      <c r="AF131"/>
      <c r="AG131"/>
      <c r="AH131"/>
      <c r="AI131"/>
      <c r="AJ131"/>
      <c r="AK131"/>
      <c r="AL131"/>
      <c r="AM131"/>
      <c r="AN131"/>
      <c r="AO131"/>
      <c r="AP131" s="271"/>
      <c r="AQ131" s="282">
        <f>AQ130+1</f>
        <v>65</v>
      </c>
      <c r="AR131">
        <f t="shared" si="26"/>
        <v>1597.18</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170.57</v>
      </c>
      <c r="H132" s="257">
        <v>0.16300000000000001</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1590.37</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227.7</v>
      </c>
      <c r="H133" s="256">
        <v>0.59199999999999997</v>
      </c>
      <c r="I133" s="368">
        <v>228.25</v>
      </c>
      <c r="J133" s="720">
        <v>0.64600000000000002</v>
      </c>
      <c r="K133" s="312"/>
      <c r="L133" s="483"/>
      <c r="M133" s="187"/>
      <c r="AB133"/>
      <c r="AC133"/>
      <c r="AD133"/>
      <c r="AE133"/>
      <c r="AF133"/>
      <c r="AG133"/>
      <c r="AH133"/>
      <c r="AI133"/>
      <c r="AJ133"/>
      <c r="AK133"/>
      <c r="AL133"/>
      <c r="AM133"/>
      <c r="AN133"/>
      <c r="AO133"/>
      <c r="AP133" s="271"/>
      <c r="AQ133" s="282">
        <f t="shared" si="27"/>
        <v>67</v>
      </c>
      <c r="AR133">
        <f t="shared" si="26"/>
        <v>1572.99</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248.2</v>
      </c>
      <c r="H134" s="257">
        <v>1.5669999999999999</v>
      </c>
      <c r="I134" s="258">
        <v>248.65</v>
      </c>
      <c r="J134" s="719">
        <v>1.6930000000000001</v>
      </c>
      <c r="K134" s="312"/>
      <c r="L134" s="483"/>
      <c r="M134" s="187"/>
      <c r="AB134"/>
      <c r="AC134"/>
      <c r="AD134"/>
      <c r="AE134"/>
      <c r="AF134"/>
      <c r="AG134"/>
      <c r="AH134"/>
      <c r="AI134"/>
      <c r="AJ134"/>
      <c r="AK134"/>
      <c r="AL134"/>
      <c r="AM134"/>
      <c r="AN134"/>
      <c r="AO134"/>
      <c r="AP134" s="271"/>
      <c r="AQ134" s="282">
        <f t="shared" si="27"/>
        <v>68</v>
      </c>
      <c r="AR134">
        <f t="shared" si="26"/>
        <v>1557.11</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149.35</v>
      </c>
      <c r="H135" s="257">
        <v>2.7919999999999998</v>
      </c>
      <c r="I135" s="257">
        <v>146</v>
      </c>
      <c r="J135" s="719">
        <v>1.1419999999999999</v>
      </c>
      <c r="K135" s="312"/>
      <c r="L135" s="483"/>
      <c r="M135" s="187"/>
      <c r="AB135"/>
      <c r="AC135"/>
      <c r="AD135"/>
      <c r="AE135"/>
      <c r="AF135"/>
      <c r="AG135"/>
      <c r="AH135"/>
      <c r="AI135"/>
      <c r="AJ135"/>
      <c r="AK135"/>
      <c r="AL135"/>
      <c r="AM135"/>
      <c r="AN135"/>
      <c r="AO135"/>
      <c r="AP135" s="271"/>
      <c r="AQ135" s="282">
        <f t="shared" si="27"/>
        <v>69</v>
      </c>
      <c r="AR135">
        <f t="shared" si="26"/>
        <v>1557.52</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204.86</v>
      </c>
      <c r="H136" s="258">
        <v>3.2320000000000002</v>
      </c>
      <c r="I136" s="257">
        <v>204.5</v>
      </c>
      <c r="J136" s="718">
        <v>3.028</v>
      </c>
      <c r="K136" s="312"/>
      <c r="L136" s="482"/>
      <c r="M136" s="187"/>
      <c r="AB136"/>
      <c r="AC136"/>
      <c r="AD136"/>
      <c r="AE136"/>
      <c r="AF136"/>
      <c r="AG136"/>
      <c r="AH136"/>
      <c r="AI136"/>
      <c r="AJ136"/>
      <c r="AK136"/>
      <c r="AL136"/>
      <c r="AM136"/>
      <c r="AN136"/>
      <c r="AO136"/>
      <c r="AP136" s="271"/>
      <c r="AQ136" s="282">
        <f t="shared" si="27"/>
        <v>70</v>
      </c>
      <c r="AR136">
        <f t="shared" si="26"/>
        <v>1555.49</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325.3</v>
      </c>
      <c r="H137" s="258">
        <v>0.622</v>
      </c>
      <c r="I137" s="258">
        <v>324.37</v>
      </c>
      <c r="J137" s="719">
        <v>0.53400000000000003</v>
      </c>
      <c r="K137" s="312"/>
      <c r="L137" s="483"/>
      <c r="M137" s="187"/>
      <c r="AB137"/>
      <c r="AC137"/>
      <c r="AD137"/>
      <c r="AE137"/>
      <c r="AF137"/>
      <c r="AG137"/>
      <c r="AH137"/>
      <c r="AI137"/>
      <c r="AJ137"/>
      <c r="AK137"/>
      <c r="AL137"/>
      <c r="AM137"/>
      <c r="AN137"/>
      <c r="AO137"/>
      <c r="AP137" s="271"/>
      <c r="AQ137" s="282">
        <f t="shared" si="27"/>
        <v>71</v>
      </c>
      <c r="AR137">
        <f t="shared" si="26"/>
        <v>1553.68</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129</v>
      </c>
      <c r="H138" s="257">
        <v>0.68300000000000005</v>
      </c>
      <c r="I138" s="258">
        <v>129.02000000000001</v>
      </c>
      <c r="J138" s="718">
        <v>0.68300000000000005</v>
      </c>
      <c r="K138" s="312"/>
      <c r="L138" s="482"/>
      <c r="M138" s="187"/>
      <c r="AB138"/>
      <c r="AC138"/>
      <c r="AD138"/>
      <c r="AE138"/>
      <c r="AF138"/>
      <c r="AG138"/>
      <c r="AH138"/>
      <c r="AI138"/>
      <c r="AJ138"/>
      <c r="AK138"/>
      <c r="AL138"/>
      <c r="AM138"/>
      <c r="AN138"/>
      <c r="AO138"/>
      <c r="AP138" s="271"/>
      <c r="AQ138" s="282">
        <f t="shared" si="27"/>
        <v>72</v>
      </c>
      <c r="AR138">
        <f t="shared" si="26"/>
        <v>1546.56</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282.7</v>
      </c>
      <c r="H139" s="257">
        <v>0.45800000000000002</v>
      </c>
      <c r="I139" s="257">
        <v>282.85000000000002</v>
      </c>
      <c r="J139" s="718">
        <v>0.47099999999999997</v>
      </c>
      <c r="K139" s="312"/>
      <c r="L139" s="482"/>
      <c r="M139" s="187"/>
      <c r="AB139"/>
      <c r="AC139"/>
      <c r="AD139"/>
      <c r="AE139"/>
      <c r="AF139"/>
      <c r="AG139"/>
      <c r="AH139"/>
      <c r="AI139"/>
      <c r="AJ139"/>
      <c r="AK139"/>
      <c r="AL139"/>
      <c r="AM139"/>
      <c r="AN139"/>
      <c r="AO139"/>
      <c r="AP139" s="271"/>
      <c r="AQ139" s="282">
        <f t="shared" si="27"/>
        <v>73</v>
      </c>
      <c r="AR139">
        <f t="shared" si="26"/>
        <v>1539.58</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98.43</v>
      </c>
      <c r="H140" s="257">
        <v>2.472</v>
      </c>
      <c r="I140" s="258">
        <v>98.87</v>
      </c>
      <c r="J140" s="719">
        <v>2.7909999999999999</v>
      </c>
      <c r="K140" s="312"/>
      <c r="L140" s="483"/>
      <c r="M140" s="187"/>
      <c r="AB140"/>
      <c r="AC140"/>
      <c r="AD140"/>
      <c r="AE140"/>
      <c r="AF140"/>
      <c r="AG140"/>
      <c r="AH140"/>
      <c r="AI140"/>
      <c r="AJ140"/>
      <c r="AK140"/>
      <c r="AL140"/>
      <c r="AM140"/>
      <c r="AN140"/>
      <c r="AO140"/>
      <c r="AP140" s="271"/>
      <c r="AQ140" s="282">
        <f t="shared" si="27"/>
        <v>74</v>
      </c>
      <c r="AR140">
        <f t="shared" si="26"/>
        <v>1533.54</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189.5</v>
      </c>
      <c r="H141" s="257">
        <v>7.5999999999999998E-2</v>
      </c>
      <c r="I141" s="562">
        <v>189.59</v>
      </c>
      <c r="J141" s="725">
        <v>7.8E-2</v>
      </c>
      <c r="K141" s="312"/>
      <c r="L141" s="483"/>
      <c r="M141" s="187"/>
      <c r="AB141"/>
      <c r="AC141"/>
      <c r="AD141"/>
      <c r="AE141"/>
      <c r="AF141"/>
      <c r="AG141"/>
      <c r="AH141"/>
      <c r="AI141"/>
      <c r="AJ141"/>
      <c r="AK141"/>
      <c r="AL141"/>
      <c r="AM141"/>
      <c r="AN141"/>
      <c r="AO141"/>
      <c r="AP141" s="271"/>
      <c r="AQ141" s="282">
        <f t="shared" si="27"/>
        <v>75</v>
      </c>
      <c r="AR141">
        <f t="shared" si="26"/>
        <v>1533.83</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171.2</v>
      </c>
      <c r="H142" s="297">
        <v>9.7000000000000003E-2</v>
      </c>
      <c r="I142" s="258">
        <v>170.24</v>
      </c>
      <c r="J142" s="719">
        <v>7.4999999999999997E-2</v>
      </c>
      <c r="K142" s="312"/>
      <c r="L142" s="483"/>
      <c r="M142" s="187"/>
      <c r="AB142"/>
      <c r="AC142"/>
      <c r="AD142"/>
      <c r="AE142"/>
      <c r="AF142"/>
      <c r="AG142"/>
      <c r="AH142"/>
      <c r="AI142"/>
      <c r="AJ142"/>
      <c r="AK142"/>
      <c r="AL142"/>
      <c r="AM142"/>
      <c r="AN142"/>
      <c r="AO142"/>
      <c r="AP142" s="271"/>
      <c r="AQ142" s="282">
        <f t="shared" si="27"/>
        <v>76</v>
      </c>
      <c r="AR142">
        <f t="shared" si="26"/>
        <v>1533.28</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139.44999999999999</v>
      </c>
      <c r="H143" s="257">
        <v>6.782</v>
      </c>
      <c r="I143" s="257">
        <v>140.03</v>
      </c>
      <c r="J143" s="721">
        <v>8.3179999999999996</v>
      </c>
      <c r="K143" s="312"/>
      <c r="L143" s="389"/>
      <c r="M143" s="187"/>
      <c r="AB143"/>
      <c r="AC143"/>
      <c r="AD143"/>
      <c r="AE143"/>
      <c r="AF143"/>
      <c r="AG143"/>
      <c r="AH143"/>
      <c r="AI143"/>
      <c r="AJ143"/>
      <c r="AK143"/>
      <c r="AL143"/>
      <c r="AM143"/>
      <c r="AN143"/>
      <c r="AO143"/>
      <c r="AP143" s="271"/>
      <c r="AQ143" s="282">
        <f t="shared" si="27"/>
        <v>77</v>
      </c>
      <c r="AR143">
        <f t="shared" si="26"/>
        <v>1531.06</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237.93</v>
      </c>
      <c r="H144" s="297">
        <v>1.8240000000000001</v>
      </c>
      <c r="I144" s="257">
        <v>239.11</v>
      </c>
      <c r="J144" s="721">
        <v>2.4748000000000001</v>
      </c>
      <c r="K144" s="312"/>
      <c r="L144" s="389"/>
      <c r="M144" s="187"/>
      <c r="AB144"/>
      <c r="AC144"/>
      <c r="AD144"/>
      <c r="AE144"/>
      <c r="AF144"/>
      <c r="AG144"/>
      <c r="AH144"/>
      <c r="AI144"/>
      <c r="AJ144"/>
      <c r="AK144"/>
      <c r="AL144"/>
      <c r="AM144"/>
      <c r="AN144"/>
      <c r="AO144"/>
      <c r="AP144" s="271"/>
      <c r="AQ144" s="282">
        <f t="shared" si="27"/>
        <v>78</v>
      </c>
      <c r="AR144">
        <f t="shared" si="26"/>
        <v>1529.67</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120.25</v>
      </c>
      <c r="H145" s="257">
        <v>3.2050000000000001</v>
      </c>
      <c r="I145" s="257">
        <v>120.59</v>
      </c>
      <c r="J145" s="718">
        <v>3.8490000000000002</v>
      </c>
      <c r="K145" s="312"/>
      <c r="L145" s="482"/>
      <c r="M145" s="187"/>
      <c r="AB145"/>
      <c r="AC145"/>
      <c r="AD145"/>
      <c r="AE145">
        <v>1</v>
      </c>
      <c r="AF145"/>
      <c r="AG145"/>
      <c r="AH145"/>
      <c r="AI145"/>
      <c r="AJ145"/>
      <c r="AK145"/>
      <c r="AL145"/>
      <c r="AM145"/>
      <c r="AN145"/>
      <c r="AO145"/>
      <c r="AP145" s="271"/>
      <c r="AQ145" s="282">
        <f t="shared" si="27"/>
        <v>79</v>
      </c>
      <c r="AR145">
        <f t="shared" si="26"/>
        <v>1535.57</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110.36</v>
      </c>
      <c r="H146" s="257">
        <v>2.371</v>
      </c>
      <c r="I146" s="656">
        <v>110.54</v>
      </c>
      <c r="J146" s="726">
        <v>2.7120000000000002</v>
      </c>
      <c r="K146" s="312"/>
      <c r="L146" s="482"/>
      <c r="M146" s="187"/>
      <c r="AB146"/>
      <c r="AC146"/>
      <c r="AD146"/>
      <c r="AE146"/>
      <c r="AF146"/>
      <c r="AG146"/>
      <c r="AH146"/>
      <c r="AI146"/>
      <c r="AJ146"/>
      <c r="AK146"/>
      <c r="AL146"/>
      <c r="AM146"/>
      <c r="AN146"/>
      <c r="AO146"/>
      <c r="AP146" s="271"/>
      <c r="AQ146" s="282">
        <f t="shared" si="27"/>
        <v>80</v>
      </c>
      <c r="AR146">
        <f t="shared" si="26"/>
        <v>1536.02</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69.33</v>
      </c>
      <c r="H147" s="297">
        <v>29.43</v>
      </c>
      <c r="I147" s="257">
        <v>65.97</v>
      </c>
      <c r="J147" s="721">
        <v>22.9</v>
      </c>
      <c r="K147" s="312"/>
      <c r="L147" s="389"/>
      <c r="M147" s="187"/>
      <c r="AB147"/>
      <c r="AC147"/>
      <c r="AD147"/>
      <c r="AE147"/>
      <c r="AF147"/>
      <c r="AG147"/>
      <c r="AH147"/>
      <c r="AI147"/>
      <c r="AJ147"/>
      <c r="AK147"/>
      <c r="AL147"/>
      <c r="AM147"/>
      <c r="AN147"/>
      <c r="AO147"/>
      <c r="AP147" s="271"/>
      <c r="AQ147" s="282">
        <f t="shared" si="27"/>
        <v>81</v>
      </c>
      <c r="AR147">
        <f t="shared" si="26"/>
        <v>1539.87</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183.92</v>
      </c>
      <c r="H148" s="297">
        <v>377.56</v>
      </c>
      <c r="I148" s="421">
        <v>175.77</v>
      </c>
      <c r="J148" s="727">
        <v>297.24</v>
      </c>
      <c r="K148" s="312"/>
      <c r="L148" s="389"/>
      <c r="M148" s="187"/>
      <c r="AB148"/>
      <c r="AC148"/>
      <c r="AD148"/>
      <c r="AE148"/>
      <c r="AF148"/>
      <c r="AG148"/>
      <c r="AH148"/>
      <c r="AI148"/>
      <c r="AJ148"/>
      <c r="AK148"/>
      <c r="AL148"/>
      <c r="AM148"/>
      <c r="AN148"/>
      <c r="AO148"/>
      <c r="AP148" s="271"/>
      <c r="AQ148" s="282">
        <f t="shared" si="27"/>
        <v>82</v>
      </c>
      <c r="AR148">
        <f t="shared" si="26"/>
        <v>1559.48</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229.18</v>
      </c>
      <c r="H149" s="297">
        <v>6.452</v>
      </c>
      <c r="I149" s="257">
        <v>229.68</v>
      </c>
      <c r="J149" s="721">
        <v>8.9309999999999992</v>
      </c>
      <c r="K149" s="312"/>
      <c r="L149" s="389"/>
      <c r="M149" s="389"/>
      <c r="AB149"/>
      <c r="AC149"/>
      <c r="AD149"/>
      <c r="AE149"/>
      <c r="AF149"/>
      <c r="AG149"/>
      <c r="AH149"/>
      <c r="AI149"/>
      <c r="AJ149"/>
      <c r="AK149"/>
      <c r="AL149"/>
      <c r="AM149"/>
      <c r="AN149"/>
      <c r="AO149"/>
      <c r="AP149" s="271"/>
      <c r="AQ149" s="282">
        <f t="shared" si="27"/>
        <v>83</v>
      </c>
      <c r="AR149">
        <f t="shared" si="26"/>
        <v>1564.87</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149.24</v>
      </c>
      <c r="H150" s="333">
        <v>10.34</v>
      </c>
      <c r="I150" s="316">
        <v>149.44</v>
      </c>
      <c r="J150" s="716">
        <v>11.07</v>
      </c>
      <c r="K150" s="502"/>
      <c r="L150" s="484"/>
      <c r="M150" s="187"/>
      <c r="AB150"/>
      <c r="AC150"/>
      <c r="AD150"/>
      <c r="AE150"/>
      <c r="AF150"/>
      <c r="AG150"/>
      <c r="AH150"/>
      <c r="AI150"/>
      <c r="AJ150"/>
      <c r="AK150"/>
      <c r="AL150"/>
      <c r="AM150"/>
      <c r="AN150"/>
      <c r="AO150"/>
      <c r="AP150" s="271"/>
      <c r="AQ150" s="282">
        <f t="shared" si="27"/>
        <v>84</v>
      </c>
      <c r="AR150">
        <f t="shared" si="26"/>
        <v>1566.35</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39.020000000000003</v>
      </c>
      <c r="J151" s="721">
        <v>0.47299999999999998</v>
      </c>
      <c r="K151" s="502"/>
      <c r="L151" s="484"/>
      <c r="AB151"/>
      <c r="AC151"/>
      <c r="AD151"/>
      <c r="AE151"/>
      <c r="AF151"/>
      <c r="AG151"/>
      <c r="AH151"/>
      <c r="AI151"/>
      <c r="AJ151"/>
      <c r="AK151"/>
      <c r="AL151"/>
      <c r="AM151"/>
      <c r="AN151"/>
      <c r="AO151"/>
      <c r="AP151" s="271"/>
      <c r="AQ151" s="282">
        <f t="shared" si="27"/>
        <v>85</v>
      </c>
      <c r="AR151">
        <f t="shared" si="26"/>
        <v>1568</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1576.61</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1451.4279999999997</v>
      </c>
      <c r="I153" s="319"/>
      <c r="J153" s="281">
        <f>SUM(J112:J152)</f>
        <v>1528.0208000000002</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1.0527706506971071</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0.80017752947277754</v>
      </c>
      <c r="I155" s="326"/>
      <c r="J155" s="267">
        <f>+J153/F153</f>
        <v>0.84240341837625943</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1579.86</v>
      </c>
      <c r="AS156">
        <f t="shared" si="28"/>
        <v>0</v>
      </c>
      <c r="AT156"/>
      <c r="AU156"/>
      <c r="AV156"/>
      <c r="AW156"/>
      <c r="AX156"/>
      <c r="AY156"/>
      <c r="AZ156"/>
      <c r="BA156"/>
      <c r="BB156"/>
      <c r="BC156"/>
      <c r="BD156"/>
      <c r="BE156"/>
    </row>
    <row r="157" spans="2:57" ht="27" customHeight="1" thickBot="1" x14ac:dyDescent="0.25">
      <c r="B157" s="291"/>
      <c r="C157" s="260"/>
      <c r="D157" s="260"/>
      <c r="E157" s="260"/>
      <c r="F157" s="516">
        <v>21</v>
      </c>
      <c r="G157" s="566" t="s">
        <v>259</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1591.91</v>
      </c>
      <c r="AS157">
        <f t="shared" si="28"/>
        <v>0</v>
      </c>
      <c r="AT157"/>
      <c r="AU157"/>
      <c r="AV157"/>
      <c r="AW157"/>
      <c r="AX157"/>
      <c r="AY157"/>
      <c r="AZ157"/>
      <c r="BA157"/>
      <c r="BB157"/>
      <c r="BC157"/>
      <c r="BD157"/>
      <c r="BE157"/>
    </row>
    <row r="158" spans="2:57" ht="27" customHeight="1" x14ac:dyDescent="0.2">
      <c r="B158" s="382" t="s">
        <v>18</v>
      </c>
      <c r="C158" s="385" t="s">
        <v>19</v>
      </c>
      <c r="D158" s="385" t="s">
        <v>73</v>
      </c>
      <c r="E158" s="860" t="s">
        <v>20</v>
      </c>
      <c r="F158" s="861"/>
      <c r="G158" s="860" t="s">
        <v>94</v>
      </c>
      <c r="H158" s="861"/>
      <c r="I158" s="860" t="s">
        <v>22</v>
      </c>
      <c r="J158" s="861"/>
      <c r="K158" s="379" t="s">
        <v>160</v>
      </c>
      <c r="L158" s="310"/>
      <c r="M158" s="187"/>
      <c r="AB158"/>
      <c r="AC158"/>
      <c r="AD158"/>
      <c r="AE158"/>
      <c r="AF158"/>
      <c r="AG158"/>
      <c r="AH158"/>
      <c r="AI158"/>
      <c r="AJ158"/>
      <c r="AK158"/>
      <c r="AL158"/>
      <c r="AM158"/>
      <c r="AN158"/>
      <c r="AO158"/>
      <c r="AP158" s="271"/>
      <c r="AQ158" s="282">
        <f t="shared" si="27"/>
        <v>89</v>
      </c>
      <c r="AR158">
        <f>IF(AE35="tad","tad",AE35)</f>
        <v>1599.95</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1592.39</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1590.24</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1593.86</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55.77</v>
      </c>
      <c r="H162" s="256">
        <v>31.143999999999998</v>
      </c>
      <c r="I162" s="688">
        <v>55.19</v>
      </c>
      <c r="J162" s="688">
        <v>27.838999999999999</v>
      </c>
      <c r="K162" s="505">
        <v>0</v>
      </c>
      <c r="L162" s="401"/>
      <c r="M162" s="394"/>
      <c r="N162" s="392"/>
      <c r="AB162"/>
      <c r="AC162"/>
      <c r="AD162"/>
      <c r="AE162"/>
      <c r="AF162"/>
      <c r="AG162"/>
      <c r="AH162"/>
      <c r="AI162"/>
      <c r="AJ162"/>
      <c r="AK162"/>
      <c r="AL162"/>
      <c r="AM162"/>
      <c r="AN162"/>
      <c r="AO162"/>
      <c r="AP162" s="271"/>
      <c r="AQ162" s="282">
        <f t="shared" si="27"/>
        <v>93</v>
      </c>
      <c r="AR162">
        <f t="shared" si="29"/>
        <v>1609.79</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338.89</v>
      </c>
      <c r="H163" s="297">
        <v>7.26</v>
      </c>
      <c r="I163" s="329">
        <v>339.5</v>
      </c>
      <c r="J163" s="708">
        <v>7.77</v>
      </c>
      <c r="K163" s="505">
        <v>0</v>
      </c>
      <c r="L163" s="402"/>
      <c r="M163" s="470"/>
      <c r="N163" s="393"/>
      <c r="AB163"/>
      <c r="AC163"/>
      <c r="AD163"/>
      <c r="AE163"/>
      <c r="AF163"/>
      <c r="AG163"/>
      <c r="AH163"/>
      <c r="AI163"/>
      <c r="AJ163"/>
      <c r="AK163"/>
      <c r="AL163"/>
      <c r="AM163"/>
      <c r="AN163"/>
      <c r="AO163"/>
      <c r="AP163" s="271"/>
      <c r="AQ163" s="282">
        <f t="shared" si="27"/>
        <v>94</v>
      </c>
      <c r="AR163">
        <f t="shared" si="29"/>
        <v>1610.88</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74.11</v>
      </c>
      <c r="H164" s="297">
        <v>29.640999999999998</v>
      </c>
      <c r="I164" s="329">
        <v>77.040000000000006</v>
      </c>
      <c r="J164" s="708">
        <v>46.07</v>
      </c>
      <c r="K164" s="505">
        <v>0</v>
      </c>
      <c r="L164" s="402"/>
      <c r="M164" s="394"/>
      <c r="N164" s="392"/>
      <c r="AB164"/>
      <c r="AC164"/>
      <c r="AD164"/>
      <c r="AE164"/>
      <c r="AF164"/>
      <c r="AG164"/>
      <c r="AH164"/>
      <c r="AI164"/>
      <c r="AJ164"/>
      <c r="AK164"/>
      <c r="AL164"/>
      <c r="AM164"/>
      <c r="AN164"/>
      <c r="AO164"/>
      <c r="AP164" s="271"/>
      <c r="AQ164" s="282">
        <f t="shared" si="27"/>
        <v>95</v>
      </c>
      <c r="AR164">
        <f t="shared" si="29"/>
        <v>1610.7</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462.04</v>
      </c>
      <c r="H165" s="329">
        <v>29.623000000000001</v>
      </c>
      <c r="I165" s="315">
        <v>462.12</v>
      </c>
      <c r="J165" s="708">
        <v>30.951000000000001</v>
      </c>
      <c r="K165" s="505">
        <v>0</v>
      </c>
      <c r="L165" s="486"/>
      <c r="M165" s="390"/>
      <c r="N165" s="390"/>
      <c r="O165" s="391"/>
      <c r="AB165"/>
      <c r="AC165"/>
      <c r="AD165"/>
      <c r="AE165"/>
      <c r="AF165"/>
      <c r="AG165"/>
      <c r="AH165"/>
      <c r="AI165"/>
      <c r="AJ165"/>
      <c r="AK165"/>
      <c r="AL165"/>
      <c r="AM165"/>
      <c r="AN165"/>
      <c r="AO165"/>
      <c r="AP165" s="271"/>
      <c r="AQ165" s="282">
        <f t="shared" si="27"/>
        <v>96</v>
      </c>
      <c r="AR165">
        <f t="shared" si="29"/>
        <v>1603.66</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205.82</v>
      </c>
      <c r="H166" s="258">
        <v>8.2189999999999994</v>
      </c>
      <c r="I166" s="682">
        <v>207.02</v>
      </c>
      <c r="J166" s="708">
        <v>9.5299999999999994</v>
      </c>
      <c r="K166" s="505">
        <v>0</v>
      </c>
      <c r="L166" s="487"/>
      <c r="M166" s="187"/>
      <c r="AB166"/>
      <c r="AC166"/>
      <c r="AD166"/>
      <c r="AE166"/>
      <c r="AF166"/>
      <c r="AG166"/>
      <c r="AH166"/>
      <c r="AI166"/>
      <c r="AJ166"/>
      <c r="AK166"/>
      <c r="AL166"/>
      <c r="AM166"/>
      <c r="AN166"/>
      <c r="AO166"/>
      <c r="AP166" s="271"/>
      <c r="AQ166" s="282">
        <f t="shared" si="27"/>
        <v>97</v>
      </c>
      <c r="AR166">
        <f t="shared" si="29"/>
        <v>1601.65</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318.05</v>
      </c>
      <c r="H167" s="258">
        <v>4.2510000000000003</v>
      </c>
      <c r="I167" s="682">
        <v>320.02</v>
      </c>
      <c r="J167" s="708">
        <v>5.1609999999999996</v>
      </c>
      <c r="K167" s="505">
        <v>0</v>
      </c>
      <c r="L167" s="488"/>
      <c r="M167" s="187"/>
      <c r="AB167"/>
      <c r="AC167"/>
      <c r="AD167"/>
      <c r="AE167"/>
      <c r="AF167"/>
      <c r="AG167"/>
      <c r="AH167"/>
      <c r="AI167"/>
      <c r="AJ167"/>
      <c r="AK167"/>
      <c r="AL167"/>
      <c r="AM167"/>
      <c r="AN167"/>
      <c r="AO167"/>
      <c r="AP167" s="271"/>
      <c r="AQ167" s="282">
        <f t="shared" si="27"/>
        <v>98</v>
      </c>
      <c r="AR167">
        <f t="shared" si="29"/>
        <v>1598.33</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87.8</v>
      </c>
      <c r="H168" s="257">
        <v>580.92600000000004</v>
      </c>
      <c r="I168" s="682">
        <v>89.41</v>
      </c>
      <c r="J168" s="708">
        <v>654.101</v>
      </c>
      <c r="K168" s="505">
        <v>0</v>
      </c>
      <c r="L168" s="487"/>
      <c r="M168" s="187"/>
      <c r="AB168"/>
      <c r="AC168"/>
      <c r="AD168"/>
      <c r="AE168"/>
      <c r="AF168"/>
      <c r="AG168"/>
      <c r="AH168"/>
      <c r="AI168"/>
      <c r="AJ168"/>
      <c r="AK168"/>
      <c r="AL168"/>
      <c r="AM168"/>
      <c r="AN168"/>
      <c r="AO168"/>
      <c r="AP168" s="271"/>
      <c r="AQ168" s="282">
        <f t="shared" si="27"/>
        <v>99</v>
      </c>
      <c r="AR168">
        <f t="shared" si="29"/>
        <v>1588.47</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119.21</v>
      </c>
      <c r="H169" s="297">
        <v>1.532</v>
      </c>
      <c r="I169" s="331">
        <v>119.97</v>
      </c>
      <c r="J169" s="708">
        <v>1.556</v>
      </c>
      <c r="K169" s="505">
        <v>0</v>
      </c>
      <c r="L169" s="489"/>
      <c r="M169" s="187"/>
      <c r="AB169"/>
      <c r="AC169"/>
      <c r="AD169"/>
      <c r="AE169"/>
      <c r="AF169"/>
      <c r="AG169"/>
      <c r="AH169"/>
      <c r="AI169"/>
      <c r="AJ169"/>
      <c r="AK169"/>
      <c r="AL169"/>
      <c r="AM169"/>
      <c r="AN169"/>
      <c r="AO169"/>
      <c r="AP169" s="271"/>
      <c r="AQ169" s="282">
        <f t="shared" si="27"/>
        <v>100</v>
      </c>
      <c r="AR169">
        <f t="shared" si="29"/>
        <v>1585.34</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119</v>
      </c>
      <c r="H170" s="297">
        <v>1.4830000000000001</v>
      </c>
      <c r="I170" s="682">
        <v>119.66</v>
      </c>
      <c r="J170" s="708">
        <v>1.272</v>
      </c>
      <c r="K170" s="505">
        <v>0</v>
      </c>
      <c r="L170" s="487"/>
      <c r="M170" s="187"/>
      <c r="AB170"/>
      <c r="AC170"/>
      <c r="AD170"/>
      <c r="AE170"/>
      <c r="AF170"/>
      <c r="AG170"/>
      <c r="AH170"/>
      <c r="AI170"/>
      <c r="AJ170"/>
      <c r="AK170"/>
      <c r="AL170"/>
      <c r="AM170"/>
      <c r="AN170"/>
      <c r="AO170"/>
      <c r="AP170" s="271"/>
      <c r="AQ170" s="282">
        <f t="shared" si="27"/>
        <v>101</v>
      </c>
      <c r="AR170">
        <f t="shared" si="29"/>
        <v>1577.42</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43.8</v>
      </c>
      <c r="H171" s="257">
        <v>2.5009999999999999</v>
      </c>
      <c r="I171" s="682">
        <v>46.51</v>
      </c>
      <c r="J171" s="708">
        <v>4.2060000000000004</v>
      </c>
      <c r="K171" s="505">
        <v>0</v>
      </c>
      <c r="L171" s="487"/>
      <c r="M171" s="187"/>
      <c r="AB171"/>
      <c r="AC171"/>
      <c r="AD171"/>
      <c r="AE171"/>
      <c r="AF171"/>
      <c r="AG171"/>
      <c r="AH171"/>
      <c r="AI171"/>
      <c r="AJ171"/>
      <c r="AK171"/>
      <c r="AL171"/>
      <c r="AM171"/>
      <c r="AN171"/>
      <c r="AO171"/>
      <c r="AP171" s="271"/>
      <c r="AQ171" s="282">
        <f t="shared" si="27"/>
        <v>102</v>
      </c>
      <c r="AR171">
        <f t="shared" si="29"/>
        <v>1610.7</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47.84</v>
      </c>
      <c r="H172" s="257">
        <v>1.8160000000000001</v>
      </c>
      <c r="I172" s="683">
        <v>51.45</v>
      </c>
      <c r="J172" s="708">
        <v>2.548</v>
      </c>
      <c r="K172" s="505">
        <v>0</v>
      </c>
      <c r="L172" s="487"/>
      <c r="M172" s="187"/>
      <c r="AB172"/>
      <c r="AC172"/>
      <c r="AD172"/>
      <c r="AE172"/>
      <c r="AF172"/>
      <c r="AG172"/>
      <c r="AH172"/>
      <c r="AI172"/>
      <c r="AJ172"/>
      <c r="AK172"/>
      <c r="AL172"/>
      <c r="AM172"/>
      <c r="AN172"/>
      <c r="AO172"/>
      <c r="AP172" s="271"/>
      <c r="AQ172" s="282">
        <f t="shared" si="27"/>
        <v>103</v>
      </c>
      <c r="AR172">
        <f t="shared" si="29"/>
        <v>1603.66</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78.319999999999993</v>
      </c>
      <c r="H173" s="620">
        <v>0.65900000000000003</v>
      </c>
      <c r="I173" s="682">
        <v>77.25</v>
      </c>
      <c r="J173" s="708">
        <v>0.79700000000000004</v>
      </c>
      <c r="K173" s="505">
        <v>0</v>
      </c>
      <c r="L173" s="487"/>
      <c r="M173" s="187"/>
      <c r="AB173"/>
      <c r="AC173"/>
      <c r="AD173"/>
      <c r="AE173"/>
      <c r="AF173"/>
      <c r="AG173"/>
      <c r="AH173"/>
      <c r="AI173"/>
      <c r="AJ173"/>
      <c r="AK173"/>
      <c r="AL173"/>
      <c r="AM173"/>
      <c r="AN173"/>
      <c r="AO173"/>
      <c r="AP173" s="271"/>
      <c r="AQ173" s="282">
        <f t="shared" si="27"/>
        <v>104</v>
      </c>
      <c r="AR173">
        <f t="shared" si="29"/>
        <v>1601.65</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82</v>
      </c>
      <c r="H174" s="297">
        <v>0.30299999999999999</v>
      </c>
      <c r="I174" s="682">
        <v>81.56</v>
      </c>
      <c r="J174" s="708">
        <v>0.06</v>
      </c>
      <c r="K174" s="505">
        <v>0</v>
      </c>
      <c r="L174" s="487"/>
      <c r="M174" s="187"/>
      <c r="AB174"/>
      <c r="AC174"/>
      <c r="AD174"/>
      <c r="AE174"/>
      <c r="AF174"/>
      <c r="AG174"/>
      <c r="AH174"/>
      <c r="AI174"/>
      <c r="AJ174"/>
      <c r="AK174"/>
      <c r="AL174"/>
      <c r="AM174"/>
      <c r="AN174"/>
      <c r="AO174"/>
      <c r="AP174" s="271"/>
      <c r="AQ174" s="282">
        <f t="shared" si="27"/>
        <v>105</v>
      </c>
      <c r="AR174">
        <f t="shared" si="29"/>
        <v>1598.33</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70.150000000000006</v>
      </c>
      <c r="H175" s="330">
        <v>0.26400000000000001</v>
      </c>
      <c r="I175" s="682">
        <v>63.63</v>
      </c>
      <c r="J175" s="708">
        <v>0.20799999999999999</v>
      </c>
      <c r="K175" s="505">
        <v>0</v>
      </c>
      <c r="L175" s="487"/>
      <c r="M175" s="187"/>
      <c r="AB175"/>
      <c r="AC175"/>
      <c r="AD175"/>
      <c r="AE175"/>
      <c r="AF175"/>
      <c r="AG175"/>
      <c r="AH175"/>
      <c r="AI175"/>
      <c r="AJ175"/>
      <c r="AK175"/>
      <c r="AL175"/>
      <c r="AM175"/>
      <c r="AN175"/>
      <c r="AO175"/>
      <c r="AP175" s="271"/>
      <c r="AQ175" s="282">
        <f t="shared" si="27"/>
        <v>106</v>
      </c>
      <c r="AR175">
        <f t="shared" si="29"/>
        <v>1588.47</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44.99</v>
      </c>
      <c r="H176" s="297">
        <v>9.8000000000000004E-2</v>
      </c>
      <c r="I176" s="682">
        <v>45.73</v>
      </c>
      <c r="J176" s="708">
        <v>0.21299999999999999</v>
      </c>
      <c r="K176" s="505">
        <v>0</v>
      </c>
      <c r="L176" s="487"/>
      <c r="M176" s="187"/>
      <c r="AB176"/>
      <c r="AC176"/>
      <c r="AD176"/>
      <c r="AE176"/>
      <c r="AF176"/>
      <c r="AG176"/>
      <c r="AH176"/>
      <c r="AI176"/>
      <c r="AJ176"/>
      <c r="AK176"/>
      <c r="AL176"/>
      <c r="AM176"/>
      <c r="AN176"/>
      <c r="AO176"/>
      <c r="AP176" s="271"/>
      <c r="AQ176" s="282">
        <f t="shared" si="27"/>
        <v>107</v>
      </c>
      <c r="AR176">
        <f t="shared" si="29"/>
        <v>1585.34</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136</v>
      </c>
      <c r="H177" s="257">
        <v>366.13600000000002</v>
      </c>
      <c r="I177" s="329">
        <v>136</v>
      </c>
      <c r="J177" s="711">
        <v>366.14</v>
      </c>
      <c r="K177" s="505">
        <v>0</v>
      </c>
      <c r="L177" s="407"/>
      <c r="M177" s="187"/>
      <c r="AB177"/>
      <c r="AC177"/>
      <c r="AD177"/>
      <c r="AE177"/>
      <c r="AF177"/>
      <c r="AG177"/>
      <c r="AH177"/>
      <c r="AI177"/>
      <c r="AJ177"/>
      <c r="AK177"/>
      <c r="AL177"/>
      <c r="AM177"/>
      <c r="AN177"/>
      <c r="AO177"/>
      <c r="AP177" s="271"/>
      <c r="AQ177" s="282">
        <f t="shared" si="27"/>
        <v>108</v>
      </c>
      <c r="AR177">
        <f t="shared" si="29"/>
        <v>1577.42</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112.1</v>
      </c>
      <c r="H178" s="257">
        <v>1.728</v>
      </c>
      <c r="I178" s="684">
        <v>111.78</v>
      </c>
      <c r="J178" s="711">
        <v>1.601</v>
      </c>
      <c r="K178" s="505">
        <v>0</v>
      </c>
      <c r="L178" s="407"/>
      <c r="M178" s="187"/>
      <c r="AB178"/>
      <c r="AC178"/>
      <c r="AD178"/>
      <c r="AE178"/>
      <c r="AF178"/>
      <c r="AG178"/>
      <c r="AH178"/>
      <c r="AI178"/>
      <c r="AJ178"/>
      <c r="AK178"/>
      <c r="AL178"/>
      <c r="AM178"/>
      <c r="AN178"/>
      <c r="AO178"/>
      <c r="AP178" s="271"/>
      <c r="AQ178" s="282">
        <f t="shared" si="27"/>
        <v>109</v>
      </c>
      <c r="AR178">
        <f t="shared" si="29"/>
        <v>1547.9</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203.11</v>
      </c>
      <c r="H179" s="257">
        <v>0.23300000000000001</v>
      </c>
      <c r="I179" s="329">
        <v>203.3</v>
      </c>
      <c r="J179" s="711">
        <v>0.252</v>
      </c>
      <c r="K179" s="505">
        <v>0</v>
      </c>
      <c r="L179" s="407"/>
      <c r="M179" s="185"/>
      <c r="AB179"/>
      <c r="AC179"/>
      <c r="AD179"/>
      <c r="AE179"/>
      <c r="AF179"/>
      <c r="AG179"/>
      <c r="AH179"/>
      <c r="AI179"/>
      <c r="AJ179"/>
      <c r="AK179"/>
      <c r="AL179"/>
      <c r="AM179"/>
      <c r="AN179"/>
      <c r="AO179"/>
      <c r="AP179" s="271"/>
      <c r="AQ179" s="282">
        <f t="shared" si="27"/>
        <v>110</v>
      </c>
      <c r="AR179">
        <f t="shared" si="29"/>
        <v>1543.19</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223.14</v>
      </c>
      <c r="H180" s="257">
        <v>0.35399999999999998</v>
      </c>
      <c r="I180" s="684">
        <v>223.35</v>
      </c>
      <c r="J180" s="712">
        <v>0.37</v>
      </c>
      <c r="K180" s="505">
        <v>0</v>
      </c>
      <c r="L180" s="408"/>
      <c r="M180" s="187"/>
      <c r="AB180"/>
      <c r="AC180"/>
      <c r="AD180"/>
      <c r="AE180"/>
      <c r="AF180"/>
      <c r="AG180"/>
      <c r="AH180"/>
      <c r="AI180"/>
      <c r="AJ180"/>
      <c r="AK180"/>
      <c r="AL180"/>
      <c r="AM180"/>
      <c r="AN180"/>
      <c r="AO180"/>
      <c r="AP180" s="271"/>
      <c r="AQ180" s="282">
        <f t="shared" si="27"/>
        <v>111</v>
      </c>
      <c r="AR180">
        <f t="shared" si="29"/>
        <v>1537.59</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195</v>
      </c>
      <c r="H181" s="257">
        <v>0.58399999999999996</v>
      </c>
      <c r="I181" s="684">
        <v>195.8</v>
      </c>
      <c r="J181" s="711">
        <v>0.73299999999999998</v>
      </c>
      <c r="K181" s="505">
        <v>0</v>
      </c>
      <c r="L181" s="407"/>
      <c r="M181" s="187"/>
      <c r="AB181"/>
      <c r="AC181"/>
      <c r="AD181"/>
      <c r="AE181"/>
      <c r="AF181"/>
      <c r="AG181"/>
      <c r="AH181"/>
      <c r="AI181"/>
      <c r="AJ181"/>
      <c r="AK181"/>
      <c r="AL181"/>
      <c r="AM181"/>
      <c r="AN181"/>
      <c r="AO181"/>
      <c r="AP181" s="271"/>
      <c r="AQ181" s="282">
        <f t="shared" si="27"/>
        <v>112</v>
      </c>
      <c r="AR181">
        <f t="shared" si="29"/>
        <v>1532.73</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170.57</v>
      </c>
      <c r="H182" s="257">
        <v>0.16300000000000001</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1528.02</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227.7</v>
      </c>
      <c r="H183" s="256">
        <v>0.59199999999999997</v>
      </c>
      <c r="I183" s="685">
        <v>228.43</v>
      </c>
      <c r="J183" s="713">
        <v>0.66300000000000003</v>
      </c>
      <c r="K183" s="505">
        <v>0</v>
      </c>
      <c r="L183" s="408"/>
      <c r="M183" s="187"/>
      <c r="AB183"/>
      <c r="AC183"/>
      <c r="AD183"/>
      <c r="AE183"/>
      <c r="AF183"/>
      <c r="AG183"/>
      <c r="AH183"/>
      <c r="AI183"/>
      <c r="AJ183"/>
      <c r="AK183"/>
      <c r="AL183"/>
      <c r="AM183"/>
      <c r="AN183"/>
      <c r="AO183"/>
      <c r="AP183" s="271"/>
      <c r="AQ183" s="282">
        <f t="shared" si="27"/>
        <v>114</v>
      </c>
      <c r="AR183">
        <f t="shared" si="29"/>
        <v>1523.79</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248.2</v>
      </c>
      <c r="H184" s="257">
        <v>1.5669999999999999</v>
      </c>
      <c r="I184" s="684">
        <v>248.65</v>
      </c>
      <c r="J184" s="712">
        <v>1.6930000000000001</v>
      </c>
      <c r="K184" s="505">
        <v>0</v>
      </c>
      <c r="L184" s="408"/>
      <c r="M184" s="187"/>
      <c r="AB184"/>
      <c r="AC184"/>
      <c r="AD184"/>
      <c r="AE184"/>
      <c r="AF184"/>
      <c r="AG184"/>
      <c r="AH184"/>
      <c r="AI184"/>
      <c r="AJ184"/>
      <c r="AK184"/>
      <c r="AL184"/>
      <c r="AM184"/>
      <c r="AN184"/>
      <c r="AO184"/>
      <c r="AP184" s="271"/>
      <c r="AQ184" s="282">
        <f t="shared" si="27"/>
        <v>115</v>
      </c>
      <c r="AR184">
        <f t="shared" si="29"/>
        <v>1552</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149.35</v>
      </c>
      <c r="H185" s="257">
        <v>2.7919999999999998</v>
      </c>
      <c r="I185" s="329">
        <v>146</v>
      </c>
      <c r="J185" s="712">
        <v>1.1419999999999999</v>
      </c>
      <c r="K185" s="505">
        <v>0</v>
      </c>
      <c r="L185" s="408"/>
      <c r="M185" s="187"/>
      <c r="AB185"/>
      <c r="AC185"/>
      <c r="AD185"/>
      <c r="AE185"/>
      <c r="AF185"/>
      <c r="AG185"/>
      <c r="AH185"/>
      <c r="AI185"/>
      <c r="AJ185"/>
      <c r="AK185"/>
      <c r="AL185"/>
      <c r="AM185"/>
      <c r="AN185"/>
      <c r="AO185"/>
      <c r="AP185" s="271"/>
      <c r="AQ185" s="282">
        <f t="shared" si="27"/>
        <v>116</v>
      </c>
      <c r="AR185">
        <f t="shared" si="29"/>
        <v>0</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204.86</v>
      </c>
      <c r="H186" s="258">
        <v>3.2320000000000002</v>
      </c>
      <c r="I186" s="329">
        <v>204.48</v>
      </c>
      <c r="J186" s="711">
        <v>3.004</v>
      </c>
      <c r="K186" s="505">
        <v>0</v>
      </c>
      <c r="L186" s="407"/>
      <c r="M186" s="187"/>
      <c r="AB186"/>
      <c r="AC186"/>
      <c r="AD186"/>
      <c r="AE186"/>
      <c r="AF186"/>
      <c r="AG186"/>
      <c r="AH186"/>
      <c r="AI186"/>
      <c r="AJ186"/>
      <c r="AK186"/>
      <c r="AL186"/>
      <c r="AM186"/>
      <c r="AN186"/>
      <c r="AO186"/>
      <c r="AP186" s="271"/>
      <c r="AQ186" s="282">
        <f t="shared" si="27"/>
        <v>117</v>
      </c>
      <c r="AR186">
        <f t="shared" si="29"/>
        <v>0</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325.3</v>
      </c>
      <c r="H187" s="258">
        <v>0.622</v>
      </c>
      <c r="I187" s="684">
        <v>324.5</v>
      </c>
      <c r="J187" s="712">
        <v>0.54600000000000004</v>
      </c>
      <c r="K187" s="505">
        <v>0</v>
      </c>
      <c r="L187" s="408"/>
      <c r="M187" s="187"/>
      <c r="AB187"/>
      <c r="AC187"/>
      <c r="AD187"/>
      <c r="AE187"/>
      <c r="AF187"/>
      <c r="AG187"/>
      <c r="AH187"/>
      <c r="AI187"/>
      <c r="AJ187"/>
      <c r="AK187"/>
      <c r="AL187"/>
      <c r="AM187"/>
      <c r="AN187"/>
      <c r="AO187"/>
      <c r="AP187" s="271"/>
      <c r="AQ187" s="282">
        <f t="shared" si="27"/>
        <v>118</v>
      </c>
      <c r="AR187">
        <f t="shared" si="29"/>
        <v>0</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129</v>
      </c>
      <c r="H188" s="257">
        <v>0.68300000000000005</v>
      </c>
      <c r="I188" s="684">
        <v>129.02000000000001</v>
      </c>
      <c r="J188" s="711">
        <v>0.68300000000000005</v>
      </c>
      <c r="K188" s="505">
        <v>0</v>
      </c>
      <c r="L188" s="407"/>
      <c r="M188" s="187"/>
      <c r="AB188"/>
      <c r="AC188"/>
      <c r="AD188"/>
      <c r="AE188"/>
      <c r="AF188"/>
      <c r="AG188"/>
      <c r="AH188"/>
      <c r="AI188"/>
      <c r="AJ188"/>
      <c r="AK188"/>
      <c r="AL188"/>
      <c r="AM188"/>
      <c r="AN188"/>
      <c r="AO188"/>
      <c r="AP188" s="271"/>
      <c r="AQ188" s="282">
        <f t="shared" si="27"/>
        <v>119</v>
      </c>
      <c r="AR188">
        <f t="shared" si="29"/>
        <v>0</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282.7</v>
      </c>
      <c r="H189" s="257">
        <v>0.45800000000000002</v>
      </c>
      <c r="I189" s="329">
        <v>282.8</v>
      </c>
      <c r="J189" s="711">
        <v>0.46700000000000003</v>
      </c>
      <c r="K189" s="505">
        <v>0</v>
      </c>
      <c r="L189" s="407"/>
      <c r="M189" s="187"/>
      <c r="AB189"/>
      <c r="AC189"/>
      <c r="AD189"/>
      <c r="AE189"/>
      <c r="AF189"/>
      <c r="AG189"/>
      <c r="AH189"/>
      <c r="AI189"/>
      <c r="AJ189"/>
      <c r="AK189"/>
      <c r="AL189"/>
      <c r="AM189"/>
      <c r="AN189"/>
      <c r="AO189"/>
      <c r="AP189" s="271"/>
      <c r="AQ189" s="282">
        <f t="shared" si="27"/>
        <v>120</v>
      </c>
      <c r="AR189">
        <f t="shared" si="29"/>
        <v>0</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98.43</v>
      </c>
      <c r="H190" s="257">
        <v>2.472</v>
      </c>
      <c r="I190" s="684">
        <v>98.89</v>
      </c>
      <c r="J190" s="712">
        <v>2.806</v>
      </c>
      <c r="K190" s="505">
        <v>0</v>
      </c>
      <c r="L190" s="408"/>
      <c r="M190" s="187"/>
      <c r="AB190"/>
      <c r="AC190"/>
      <c r="AD190"/>
      <c r="AE190"/>
      <c r="AF190"/>
      <c r="AG190"/>
      <c r="AH190"/>
      <c r="AI190"/>
      <c r="AJ190"/>
      <c r="AK190"/>
      <c r="AL190"/>
      <c r="AM190"/>
      <c r="AN190"/>
      <c r="AO190"/>
      <c r="AP190" s="271"/>
      <c r="AQ190" s="282">
        <f t="shared" si="27"/>
        <v>121</v>
      </c>
      <c r="AR190">
        <f t="shared" si="29"/>
        <v>0</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189.5</v>
      </c>
      <c r="H191" s="257">
        <v>7.5999999999999998E-2</v>
      </c>
      <c r="I191" s="684">
        <v>189.62</v>
      </c>
      <c r="J191" s="712">
        <v>7.8E-2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0</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171.2</v>
      </c>
      <c r="H192" s="297">
        <v>9.7000000000000003E-2</v>
      </c>
      <c r="I192" s="684">
        <v>170.25</v>
      </c>
      <c r="J192" s="712">
        <v>7.4999999999999997E-2</v>
      </c>
      <c r="K192" s="505">
        <v>0</v>
      </c>
      <c r="L192" s="408"/>
      <c r="M192" s="187"/>
      <c r="AB192"/>
      <c r="AC192"/>
      <c r="AD192"/>
      <c r="AE192"/>
      <c r="AF192"/>
      <c r="AG192"/>
      <c r="AH192"/>
      <c r="AI192"/>
      <c r="AJ192"/>
      <c r="AK192"/>
      <c r="AL192"/>
      <c r="AM192"/>
      <c r="AN192"/>
      <c r="AO192"/>
      <c r="AP192" s="271"/>
      <c r="AQ192" s="282">
        <f t="shared" si="27"/>
        <v>123</v>
      </c>
      <c r="AR192">
        <f t="shared" si="31"/>
        <v>0</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139.44999999999999</v>
      </c>
      <c r="H193" s="257">
        <v>6.782</v>
      </c>
      <c r="I193" s="329">
        <v>140.01</v>
      </c>
      <c r="J193" s="714">
        <v>8.2880000000000003</v>
      </c>
      <c r="K193" s="505">
        <v>0</v>
      </c>
      <c r="L193" s="409"/>
      <c r="M193" s="187"/>
      <c r="AB193"/>
      <c r="AC193"/>
      <c r="AD193"/>
      <c r="AE193"/>
      <c r="AF193"/>
      <c r="AG193"/>
      <c r="AH193"/>
      <c r="AI193"/>
      <c r="AJ193"/>
      <c r="AK193"/>
      <c r="AL193"/>
      <c r="AM193"/>
      <c r="AN193"/>
      <c r="AO193"/>
      <c r="AP193" s="271"/>
      <c r="AQ193" s="282">
        <f t="shared" si="27"/>
        <v>124</v>
      </c>
      <c r="AR193">
        <f t="shared" si="31"/>
        <v>0</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237.93</v>
      </c>
      <c r="H194" s="297">
        <v>1.8240000000000001</v>
      </c>
      <c r="I194" s="329">
        <v>239.11</v>
      </c>
      <c r="J194" s="714">
        <v>2.4748000000000001</v>
      </c>
      <c r="K194" s="505">
        <v>0</v>
      </c>
      <c r="L194" s="409"/>
      <c r="M194" s="187"/>
      <c r="AB194"/>
      <c r="AC194"/>
      <c r="AD194"/>
      <c r="AE194"/>
      <c r="AF194"/>
      <c r="AG194"/>
      <c r="AH194"/>
      <c r="AI194"/>
      <c r="AJ194"/>
      <c r="AK194"/>
      <c r="AL194"/>
      <c r="AM194"/>
      <c r="AN194"/>
      <c r="AO194"/>
      <c r="AP194" s="271"/>
      <c r="AQ194" s="282">
        <f t="shared" si="27"/>
        <v>125</v>
      </c>
      <c r="AR194">
        <f t="shared" si="31"/>
        <v>0</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120.25</v>
      </c>
      <c r="H195" s="257">
        <v>3.2050000000000001</v>
      </c>
      <c r="I195" s="329">
        <v>120.58</v>
      </c>
      <c r="J195" s="711">
        <v>3.83</v>
      </c>
      <c r="K195" s="505">
        <v>0</v>
      </c>
      <c r="L195" s="407"/>
      <c r="M195" s="187"/>
      <c r="AB195"/>
      <c r="AC195"/>
      <c r="AD195"/>
      <c r="AE195"/>
      <c r="AF195"/>
      <c r="AG195"/>
      <c r="AH195"/>
      <c r="AI195"/>
      <c r="AJ195"/>
      <c r="AK195"/>
      <c r="AL195"/>
      <c r="AM195"/>
      <c r="AN195"/>
      <c r="AO195"/>
      <c r="AP195" s="271"/>
      <c r="AQ195" s="282">
        <f t="shared" si="27"/>
        <v>126</v>
      </c>
      <c r="AR195">
        <f t="shared" si="31"/>
        <v>0</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110.36</v>
      </c>
      <c r="H196" s="257">
        <v>2.371</v>
      </c>
      <c r="I196" s="329">
        <v>110.54</v>
      </c>
      <c r="J196" s="711">
        <v>2.71</v>
      </c>
      <c r="K196" s="505">
        <v>0</v>
      </c>
      <c r="L196" s="407"/>
      <c r="M196" s="187"/>
      <c r="AB196"/>
      <c r="AC196"/>
      <c r="AD196"/>
      <c r="AE196"/>
      <c r="AF196"/>
      <c r="AG196"/>
      <c r="AH196"/>
      <c r="AI196"/>
      <c r="AJ196"/>
      <c r="AK196"/>
      <c r="AL196"/>
      <c r="AM196"/>
      <c r="AN196"/>
      <c r="AO196"/>
      <c r="AP196" s="271"/>
      <c r="AQ196" s="282">
        <f t="shared" si="27"/>
        <v>127</v>
      </c>
      <c r="AR196">
        <f t="shared" si="31"/>
        <v>0</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69.33</v>
      </c>
      <c r="H197" s="297">
        <v>29.43</v>
      </c>
      <c r="I197" s="329">
        <v>66.099999999999994</v>
      </c>
      <c r="J197" s="714">
        <v>23.15</v>
      </c>
      <c r="K197" s="505">
        <v>0</v>
      </c>
      <c r="L197" s="409"/>
      <c r="M197" s="187"/>
      <c r="AB197"/>
      <c r="AC197"/>
      <c r="AD197"/>
      <c r="AE197"/>
      <c r="AF197"/>
      <c r="AG197"/>
      <c r="AH197"/>
      <c r="AI197"/>
      <c r="AJ197"/>
      <c r="AK197"/>
      <c r="AL197"/>
      <c r="AM197"/>
      <c r="AN197"/>
      <c r="AO197"/>
      <c r="AP197" s="271"/>
      <c r="AQ197" s="282">
        <f t="shared" si="27"/>
        <v>128</v>
      </c>
      <c r="AR197">
        <f t="shared" si="31"/>
        <v>0</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183.92</v>
      </c>
      <c r="H198" s="297">
        <v>377.56</v>
      </c>
      <c r="I198" s="686">
        <v>175.89</v>
      </c>
      <c r="J198" s="723">
        <v>298.36</v>
      </c>
      <c r="K198" s="505">
        <v>0</v>
      </c>
      <c r="L198" s="409"/>
      <c r="M198" s="187"/>
      <c r="AB198"/>
      <c r="AC198"/>
      <c r="AD198"/>
      <c r="AE198"/>
      <c r="AF198"/>
      <c r="AG198"/>
      <c r="AH198"/>
      <c r="AI198"/>
      <c r="AJ198"/>
      <c r="AK198"/>
      <c r="AL198"/>
      <c r="AM198"/>
      <c r="AN198"/>
      <c r="AO198"/>
      <c r="AP198" s="271"/>
      <c r="AQ198" s="282">
        <f t="shared" si="27"/>
        <v>129</v>
      </c>
      <c r="AR198">
        <f t="shared" si="31"/>
        <v>0</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229.18</v>
      </c>
      <c r="H199" s="297">
        <v>6.452</v>
      </c>
      <c r="I199" s="329">
        <v>229.71</v>
      </c>
      <c r="J199" s="714">
        <v>9.0909999999999993</v>
      </c>
      <c r="K199" s="505">
        <v>0</v>
      </c>
      <c r="L199" s="487"/>
      <c r="AB199"/>
      <c r="AC199"/>
      <c r="AD199"/>
      <c r="AE199"/>
      <c r="AF199"/>
      <c r="AG199"/>
      <c r="AH199"/>
      <c r="AI199"/>
      <c r="AJ199"/>
      <c r="AK199"/>
      <c r="AL199"/>
      <c r="AM199"/>
      <c r="AN199"/>
      <c r="AO199"/>
      <c r="AP199" s="271"/>
      <c r="AQ199" s="282">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149.24</v>
      </c>
      <c r="H200" s="333">
        <v>10.34</v>
      </c>
      <c r="I200" s="316">
        <v>149.44</v>
      </c>
      <c r="J200" s="716">
        <v>11.07</v>
      </c>
      <c r="K200" s="505">
        <v>0</v>
      </c>
      <c r="L200" s="471"/>
      <c r="M200" s="187"/>
      <c r="AB200"/>
      <c r="AC200"/>
      <c r="AD200"/>
      <c r="AE200"/>
      <c r="AF200"/>
      <c r="AG200"/>
      <c r="AH200"/>
      <c r="AI200"/>
      <c r="AJ200"/>
      <c r="AK200"/>
      <c r="AL200"/>
      <c r="AM200"/>
      <c r="AN200"/>
      <c r="AO200"/>
      <c r="AP200" s="271"/>
      <c r="AQ200" s="282">
        <f t="shared" si="32"/>
        <v>131</v>
      </c>
      <c r="AR200">
        <f t="shared" si="31"/>
        <v>0</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39.020000000000003</v>
      </c>
      <c r="J201" s="714">
        <v>0.47299999999999998</v>
      </c>
      <c r="K201" s="505">
        <v>0</v>
      </c>
      <c r="L201" s="471"/>
      <c r="M201" s="187"/>
      <c r="AB201"/>
      <c r="AC201"/>
      <c r="AD201"/>
      <c r="AE201"/>
      <c r="AF201"/>
      <c r="AG201"/>
      <c r="AH201"/>
      <c r="AI201"/>
      <c r="AJ201"/>
      <c r="AK201"/>
      <c r="AL201"/>
      <c r="AM201"/>
      <c r="AN201"/>
      <c r="AO201"/>
      <c r="AP201" s="271"/>
      <c r="AQ201" s="282">
        <f t="shared" si="32"/>
        <v>132</v>
      </c>
      <c r="AR201">
        <f t="shared" si="31"/>
        <v>0</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0</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1451.4279999999997</v>
      </c>
      <c r="I203" s="689"/>
      <c r="J203" s="690">
        <f>SUM(J162:J202)</f>
        <v>1532.7347999999997</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1.0560184866214515</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0.80191226561967999</v>
      </c>
      <c r="I205" s="691"/>
      <c r="J205" s="693">
        <f>+J203/F203</f>
        <v>0.84683417714287379</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0</v>
      </c>
      <c r="AS206">
        <f t="shared" si="33"/>
        <v>0</v>
      </c>
      <c r="AT206"/>
      <c r="AU206"/>
      <c r="AV206"/>
      <c r="AW206"/>
      <c r="AX206"/>
      <c r="AY206"/>
      <c r="AZ206"/>
      <c r="BA206"/>
      <c r="BB206"/>
      <c r="BC206"/>
      <c r="BD206"/>
      <c r="BE206"/>
    </row>
    <row r="207" spans="2:57" ht="27" customHeight="1" thickBot="1" x14ac:dyDescent="0.25">
      <c r="B207" s="291"/>
      <c r="C207" s="260"/>
      <c r="D207" s="260"/>
      <c r="E207" s="260"/>
      <c r="F207" s="516">
        <v>20</v>
      </c>
      <c r="G207" s="566" t="s">
        <v>259</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0</v>
      </c>
      <c r="AS207">
        <f t="shared" si="33"/>
        <v>0</v>
      </c>
      <c r="AT207"/>
      <c r="AU207"/>
      <c r="AV207"/>
      <c r="AW207"/>
      <c r="AX207"/>
      <c r="AY207"/>
      <c r="AZ207"/>
      <c r="BA207"/>
      <c r="BB207"/>
      <c r="BC207"/>
      <c r="BD207"/>
      <c r="BE207"/>
    </row>
    <row r="208" spans="2:57" ht="27" customHeight="1" x14ac:dyDescent="0.2">
      <c r="B208" s="382" t="s">
        <v>18</v>
      </c>
      <c r="C208" s="385" t="s">
        <v>19</v>
      </c>
      <c r="D208" s="385" t="s">
        <v>73</v>
      </c>
      <c r="E208" s="860" t="s">
        <v>20</v>
      </c>
      <c r="F208" s="861"/>
      <c r="G208" s="860" t="s">
        <v>94</v>
      </c>
      <c r="H208" s="861"/>
      <c r="I208" s="862" t="s">
        <v>22</v>
      </c>
      <c r="J208" s="863"/>
      <c r="K208" s="379" t="s">
        <v>160</v>
      </c>
      <c r="L208" s="313"/>
      <c r="M208" s="187"/>
      <c r="AB208"/>
      <c r="AC208"/>
      <c r="AD208"/>
      <c r="AE208"/>
      <c r="AF208"/>
      <c r="AG208"/>
      <c r="AH208"/>
      <c r="AI208"/>
      <c r="AJ208"/>
      <c r="AK208"/>
      <c r="AL208"/>
      <c r="AM208"/>
      <c r="AN208"/>
      <c r="AO208"/>
      <c r="AP208" s="271"/>
      <c r="AQ208" s="282">
        <f t="shared" si="32"/>
        <v>136</v>
      </c>
      <c r="AR208">
        <f t="shared" si="34"/>
        <v>0</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55.77</v>
      </c>
      <c r="H212" s="256">
        <v>31.143999999999998</v>
      </c>
      <c r="I212" s="665">
        <v>55.2</v>
      </c>
      <c r="J212" s="665">
        <v>27.895</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338.89</v>
      </c>
      <c r="H213" s="297">
        <v>7.26</v>
      </c>
      <c r="I213" s="329">
        <v>339.5</v>
      </c>
      <c r="J213" s="708">
        <v>7.77</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74.11</v>
      </c>
      <c r="H214" s="297">
        <v>29.640999999999998</v>
      </c>
      <c r="I214" s="329">
        <v>77.099999999999994</v>
      </c>
      <c r="J214" s="708">
        <v>46.448</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462.04</v>
      </c>
      <c r="H215" s="329">
        <v>29.623000000000001</v>
      </c>
      <c r="I215" s="315">
        <v>462.14</v>
      </c>
      <c r="J215" s="708">
        <v>31.289000000000001</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205.82</v>
      </c>
      <c r="H216" s="258">
        <v>8.2189999999999994</v>
      </c>
      <c r="I216" s="682">
        <v>207.02</v>
      </c>
      <c r="J216" s="708">
        <v>9.5299999999999994</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318.05</v>
      </c>
      <c r="H217" s="258">
        <v>4.2510000000000003</v>
      </c>
      <c r="I217" s="682">
        <v>320.02</v>
      </c>
      <c r="J217" s="708">
        <v>5.1609999999999996</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87.8</v>
      </c>
      <c r="H218" s="257">
        <v>580.92600000000004</v>
      </c>
      <c r="I218" s="682">
        <v>89.47</v>
      </c>
      <c r="J218" s="708">
        <v>657.01900000000001</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119.21</v>
      </c>
      <c r="H219" s="297">
        <v>1.532</v>
      </c>
      <c r="I219" s="331">
        <v>119.967</v>
      </c>
      <c r="J219" s="708">
        <v>1.556</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119</v>
      </c>
      <c r="H220" s="297">
        <v>1.4830000000000001</v>
      </c>
      <c r="I220" s="682">
        <v>119.66</v>
      </c>
      <c r="J220" s="708">
        <v>1.272</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43.8</v>
      </c>
      <c r="H221" s="257">
        <v>2.5009999999999999</v>
      </c>
      <c r="I221" s="682">
        <v>46.51</v>
      </c>
      <c r="J221" s="708">
        <v>4.2060000000000004</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47.84</v>
      </c>
      <c r="H222" s="257">
        <v>1.8160000000000001</v>
      </c>
      <c r="I222" s="683">
        <v>51.46</v>
      </c>
      <c r="J222" s="708">
        <v>2.556</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78.319999999999993</v>
      </c>
      <c r="H223" s="620">
        <v>0.65900000000000003</v>
      </c>
      <c r="I223" s="682">
        <v>77.25</v>
      </c>
      <c r="J223" s="708">
        <v>0.79700000000000004</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82</v>
      </c>
      <c r="H224" s="297">
        <v>0.30299999999999999</v>
      </c>
      <c r="I224" s="682">
        <v>81.459999999999994</v>
      </c>
      <c r="J224" s="708">
        <v>5.3999999999999999E-2</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70.150000000000006</v>
      </c>
      <c r="H225" s="257">
        <v>0.26400000000000001</v>
      </c>
      <c r="I225" s="682">
        <v>63.64</v>
      </c>
      <c r="J225" s="708">
        <v>0.20899999999999999</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44.99</v>
      </c>
      <c r="H226" s="297">
        <v>9.8000000000000004E-2</v>
      </c>
      <c r="I226" s="682">
        <v>45.73</v>
      </c>
      <c r="J226" s="708">
        <v>0.21299999999999999</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136</v>
      </c>
      <c r="H227" s="257">
        <v>366.13600000000002</v>
      </c>
      <c r="I227" s="329">
        <v>136</v>
      </c>
      <c r="J227" s="711">
        <v>366.14</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112.1</v>
      </c>
      <c r="H228" s="257">
        <v>1.728</v>
      </c>
      <c r="I228" s="684">
        <v>111.88</v>
      </c>
      <c r="J228" s="711">
        <v>1.639</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203.11</v>
      </c>
      <c r="H229" s="257">
        <v>0.23300000000000001</v>
      </c>
      <c r="I229" s="329">
        <v>203.5</v>
      </c>
      <c r="J229" s="711">
        <v>0.27300000000000002</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223.14</v>
      </c>
      <c r="H230" s="257">
        <v>0.35399999999999998</v>
      </c>
      <c r="I230" s="684">
        <v>223.33</v>
      </c>
      <c r="J230" s="712">
        <v>0.36799999999999999</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195</v>
      </c>
      <c r="H231" s="257">
        <v>0.58399999999999996</v>
      </c>
      <c r="I231" s="684">
        <v>195.88</v>
      </c>
      <c r="J231" s="711">
        <v>0.748</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170.57</v>
      </c>
      <c r="H232" s="257">
        <v>0.16300000000000001</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227.7</v>
      </c>
      <c r="H233" s="256">
        <v>0.59199999999999997</v>
      </c>
      <c r="I233" s="685">
        <v>228.6</v>
      </c>
      <c r="J233" s="713">
        <v>0.68600000000000005</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248.2</v>
      </c>
      <c r="H234" s="257">
        <v>1.5669999999999999</v>
      </c>
      <c r="I234" s="684">
        <v>248.65</v>
      </c>
      <c r="J234" s="712">
        <v>1.6930000000000001</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149.35</v>
      </c>
      <c r="H235" s="257">
        <v>2.7919999999999998</v>
      </c>
      <c r="I235" s="329">
        <v>146</v>
      </c>
      <c r="J235" s="712">
        <v>1.1419999999999999</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204.86</v>
      </c>
      <c r="H236" s="258">
        <v>3.2320000000000002</v>
      </c>
      <c r="I236" s="329">
        <v>204.46</v>
      </c>
      <c r="J236" s="711">
        <v>2.992</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325.3</v>
      </c>
      <c r="H237" s="258">
        <v>0.622</v>
      </c>
      <c r="I237" s="684">
        <v>324.64999999999998</v>
      </c>
      <c r="J237" s="712">
        <v>0.56000000000000005</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129</v>
      </c>
      <c r="H238" s="257">
        <v>0.68300000000000005</v>
      </c>
      <c r="I238" s="684">
        <v>129.02000000000001</v>
      </c>
      <c r="J238" s="711">
        <v>0.68300000000000005</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282.7</v>
      </c>
      <c r="H239" s="257">
        <v>0.45800000000000002</v>
      </c>
      <c r="I239" s="329">
        <v>282.85000000000002</v>
      </c>
      <c r="J239" s="711">
        <v>0.47099999999999997</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98.43</v>
      </c>
      <c r="H240" s="257">
        <v>2.472</v>
      </c>
      <c r="I240" s="684">
        <v>98.92</v>
      </c>
      <c r="J240" s="712">
        <v>2.827</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189.5</v>
      </c>
      <c r="H241" s="257">
        <v>7.5999999999999998E-2</v>
      </c>
      <c r="I241" s="684">
        <v>189.62</v>
      </c>
      <c r="J241" s="712">
        <v>7.8E-2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171.2</v>
      </c>
      <c r="H242" s="297">
        <v>9.7000000000000003E-2</v>
      </c>
      <c r="I242" s="684">
        <v>170.35</v>
      </c>
      <c r="J242" s="712">
        <v>7.6999999999999999E-2</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139.44999999999999</v>
      </c>
      <c r="H243" s="257">
        <v>6.782</v>
      </c>
      <c r="I243" s="329">
        <v>139.99</v>
      </c>
      <c r="J243" s="714">
        <v>8.2309999999999999</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237.93</v>
      </c>
      <c r="H244" s="297">
        <v>1.8240000000000001</v>
      </c>
      <c r="I244" s="329">
        <v>239.13</v>
      </c>
      <c r="J244" s="714">
        <v>2.4900000000000002</v>
      </c>
      <c r="K244" s="505"/>
      <c r="L244" s="475">
        <v>2.27</v>
      </c>
      <c r="M244" s="679"/>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120.25</v>
      </c>
      <c r="H245" s="257">
        <v>3.2050000000000001</v>
      </c>
      <c r="I245" s="329">
        <v>120.59</v>
      </c>
      <c r="J245" s="711">
        <v>3.8490000000000002</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110.36</v>
      </c>
      <c r="H246" s="257">
        <v>2.371</v>
      </c>
      <c r="I246" s="329">
        <v>110.55</v>
      </c>
      <c r="J246" s="711">
        <v>2.7309999999999999</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69.33</v>
      </c>
      <c r="H247" s="297">
        <v>29.43</v>
      </c>
      <c r="I247" s="329">
        <v>66.239999999999995</v>
      </c>
      <c r="J247" s="714">
        <v>23.41</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183.92</v>
      </c>
      <c r="H248" s="297">
        <v>377.56</v>
      </c>
      <c r="I248" s="329">
        <v>175.98</v>
      </c>
      <c r="J248" s="714">
        <v>299.2</v>
      </c>
      <c r="K248" s="505"/>
      <c r="L248" s="475">
        <v>341.9</v>
      </c>
      <c r="M248" s="680"/>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229.17</v>
      </c>
      <c r="H249" s="297">
        <v>6.4059999999999997</v>
      </c>
      <c r="I249" s="329">
        <v>229.7</v>
      </c>
      <c r="J249" s="714">
        <v>9.0370000000000008</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149.24</v>
      </c>
      <c r="H250" s="333">
        <v>10.34</v>
      </c>
      <c r="I250" s="316">
        <v>149.43</v>
      </c>
      <c r="J250" s="716">
        <v>11.06</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39.020000000000003</v>
      </c>
      <c r="J251" s="711">
        <v>0.47299999999999998</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1451.3819999999996</v>
      </c>
      <c r="I253" s="319"/>
      <c r="J253" s="702">
        <f>SUM(J212:J252)</f>
        <v>1537.5859999999996</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1.0593944254510528</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0.80015216950565837</v>
      </c>
      <c r="I255" s="326"/>
      <c r="J255" s="704">
        <f>+J253/F253</f>
        <v>0.84767674788686043</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19</v>
      </c>
      <c r="G257" s="566" t="s">
        <v>259</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60" t="s">
        <v>20</v>
      </c>
      <c r="F258" s="861"/>
      <c r="G258" s="860" t="s">
        <v>94</v>
      </c>
      <c r="H258" s="861"/>
      <c r="I258" s="862" t="s">
        <v>22</v>
      </c>
      <c r="J258" s="863"/>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55.77</v>
      </c>
      <c r="H262" s="256">
        <v>31.143999999999998</v>
      </c>
      <c r="I262" s="665">
        <v>55.21</v>
      </c>
      <c r="J262" s="665">
        <v>27.952000000000002</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338.89</v>
      </c>
      <c r="H263" s="297">
        <v>7.26</v>
      </c>
      <c r="I263" s="329">
        <v>339.5</v>
      </c>
      <c r="J263" s="708">
        <v>7.77</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74.11</v>
      </c>
      <c r="H264" s="297">
        <v>29.640999999999998</v>
      </c>
      <c r="I264" s="329">
        <v>77.14</v>
      </c>
      <c r="J264" s="708">
        <v>46.701000000000001</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462.04</v>
      </c>
      <c r="H265" s="329">
        <v>29.623000000000001</v>
      </c>
      <c r="I265" s="315">
        <v>462.18</v>
      </c>
      <c r="J265" s="256">
        <v>31.972999999999999</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205.82</v>
      </c>
      <c r="H266" s="258">
        <v>8.2189999999999994</v>
      </c>
      <c r="I266" s="664">
        <v>207.02</v>
      </c>
      <c r="J266" s="256">
        <v>9.5299999999999994</v>
      </c>
      <c r="K266" s="377" t="s">
        <v>191</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318.05</v>
      </c>
      <c r="H267" s="258">
        <v>4.2510000000000003</v>
      </c>
      <c r="I267" s="664">
        <v>320.02</v>
      </c>
      <c r="J267" s="256">
        <v>5.1609999999999996</v>
      </c>
      <c r="K267" s="377" t="s">
        <v>191</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87.8</v>
      </c>
      <c r="H268" s="257">
        <v>580.92600000000004</v>
      </c>
      <c r="I268" s="664">
        <v>89.53</v>
      </c>
      <c r="J268" s="256">
        <v>659.947</v>
      </c>
      <c r="K268" s="377"/>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119.21</v>
      </c>
      <c r="H269" s="297">
        <v>1.532</v>
      </c>
      <c r="I269" s="331">
        <v>119.97</v>
      </c>
      <c r="J269" s="256">
        <v>1.556</v>
      </c>
      <c r="K269" s="398" t="s">
        <v>191</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119</v>
      </c>
      <c r="H270" s="297">
        <v>1.4830000000000001</v>
      </c>
      <c r="I270" s="664">
        <v>119.66</v>
      </c>
      <c r="J270" s="256">
        <v>1.272</v>
      </c>
      <c r="K270" s="398" t="s">
        <v>191</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43.8</v>
      </c>
      <c r="H271" s="257">
        <v>2.5009999999999999</v>
      </c>
      <c r="I271" s="664">
        <v>46.51</v>
      </c>
      <c r="J271" s="256">
        <v>4.2060000000000004</v>
      </c>
      <c r="K271" s="398" t="s">
        <v>191</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47.84</v>
      </c>
      <c r="H272" s="257">
        <v>1.8160000000000001</v>
      </c>
      <c r="I272" s="668">
        <v>51.47</v>
      </c>
      <c r="J272" s="256">
        <v>2.5630000000000002</v>
      </c>
      <c r="K272" s="398" t="s">
        <v>191</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78.319999999999993</v>
      </c>
      <c r="H273" s="620">
        <v>0.65900000000000003</v>
      </c>
      <c r="I273" s="664">
        <v>77.260000000000005</v>
      </c>
      <c r="J273" s="256">
        <v>0.79800000000000004</v>
      </c>
      <c r="K273" s="398" t="s">
        <v>191</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82</v>
      </c>
      <c r="H274" s="297">
        <v>0.30299999999999999</v>
      </c>
      <c r="I274" s="664">
        <v>81.48</v>
      </c>
      <c r="J274" s="256">
        <v>5.3999999999999999E-2</v>
      </c>
      <c r="K274" s="398" t="s">
        <v>191</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70.150000000000006</v>
      </c>
      <c r="H275" s="257">
        <v>0.26400000000000001</v>
      </c>
      <c r="I275" s="664">
        <v>63.65</v>
      </c>
      <c r="J275" s="256">
        <v>0.21</v>
      </c>
      <c r="K275" s="398" t="s">
        <v>191</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44.99</v>
      </c>
      <c r="H276" s="297">
        <v>9.8000000000000004E-2</v>
      </c>
      <c r="I276" s="664">
        <v>45.74</v>
      </c>
      <c r="J276" s="256">
        <v>0.214</v>
      </c>
      <c r="K276" s="398"/>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136</v>
      </c>
      <c r="H277" s="257">
        <v>366.13600000000002</v>
      </c>
      <c r="I277" s="257">
        <v>136.02000000000001</v>
      </c>
      <c r="J277" s="718">
        <v>367.1</v>
      </c>
      <c r="K277" s="377" t="s">
        <v>191</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112.1</v>
      </c>
      <c r="H278" s="257">
        <v>1.728</v>
      </c>
      <c r="I278" s="258">
        <v>112.01</v>
      </c>
      <c r="J278" s="718">
        <v>1.69</v>
      </c>
      <c r="K278" s="377" t="s">
        <v>191</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203.11</v>
      </c>
      <c r="H279" s="257">
        <v>0.23300000000000001</v>
      </c>
      <c r="I279" s="257">
        <v>203.5</v>
      </c>
      <c r="J279" s="718">
        <v>0.27</v>
      </c>
      <c r="K279" s="377" t="s">
        <v>191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223.14</v>
      </c>
      <c r="H280" s="257">
        <v>0.35399999999999998</v>
      </c>
      <c r="I280" s="258">
        <v>223.33</v>
      </c>
      <c r="J280" s="719">
        <v>0.37</v>
      </c>
      <c r="K280" s="377" t="s">
        <v>191</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195</v>
      </c>
      <c r="H281" s="257">
        <v>0.58399999999999996</v>
      </c>
      <c r="I281" s="258">
        <v>195.88</v>
      </c>
      <c r="J281" s="718">
        <v>0.748</v>
      </c>
      <c r="K281" s="377" t="s">
        <v>191</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170.57</v>
      </c>
      <c r="H282" s="257">
        <v>0.16300000000000001</v>
      </c>
      <c r="I282" s="258">
        <v>166</v>
      </c>
      <c r="J282" s="718" t="s">
        <v>38</v>
      </c>
      <c r="K282" s="377" t="s">
        <v>191</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227.7</v>
      </c>
      <c r="H283" s="256">
        <v>0.59199999999999997</v>
      </c>
      <c r="I283" s="368">
        <v>228.79</v>
      </c>
      <c r="J283" s="720">
        <v>0.7</v>
      </c>
      <c r="K283" s="377" t="s">
        <v>191</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248.2</v>
      </c>
      <c r="H284" s="257">
        <v>1.5669999999999999</v>
      </c>
      <c r="I284" s="258">
        <v>248.66</v>
      </c>
      <c r="J284" s="719">
        <v>1.7</v>
      </c>
      <c r="K284" s="377" t="s">
        <v>191</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149.35</v>
      </c>
      <c r="H285" s="257">
        <v>2.7919999999999998</v>
      </c>
      <c r="I285" s="257">
        <v>146</v>
      </c>
      <c r="J285" s="719">
        <v>1.1399999999999999</v>
      </c>
      <c r="K285" s="377" t="s">
        <v>191</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204.86</v>
      </c>
      <c r="H286" s="258">
        <v>3.2320000000000002</v>
      </c>
      <c r="I286" s="257">
        <v>204.42</v>
      </c>
      <c r="J286" s="718">
        <v>2.97</v>
      </c>
      <c r="K286" s="377" t="s">
        <v>191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325.3</v>
      </c>
      <c r="H287" s="258">
        <v>0.622</v>
      </c>
      <c r="I287" s="258">
        <v>324.83999999999997</v>
      </c>
      <c r="J287" s="719">
        <v>0.57999999999999996</v>
      </c>
      <c r="K287" s="377" t="s">
        <v>191</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129</v>
      </c>
      <c r="H288" s="257">
        <v>0.68300000000000005</v>
      </c>
      <c r="I288" s="258">
        <v>129.02000000000001</v>
      </c>
      <c r="J288" s="718">
        <v>0.68300000000000005</v>
      </c>
      <c r="K288" s="377" t="s">
        <v>191</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282.7</v>
      </c>
      <c r="H289" s="257">
        <v>0.45800000000000002</v>
      </c>
      <c r="I289" s="257">
        <v>282.95999999999998</v>
      </c>
      <c r="J289" s="718">
        <v>0.48</v>
      </c>
      <c r="K289" s="377" t="s">
        <v>191</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98.43</v>
      </c>
      <c r="H290" s="257">
        <v>2.472</v>
      </c>
      <c r="I290" s="258">
        <v>98.93</v>
      </c>
      <c r="J290" s="719">
        <v>2.84</v>
      </c>
      <c r="K290" s="377" t="s">
        <v>191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189.5</v>
      </c>
      <c r="H291" s="257">
        <v>7.5999999999999998E-2</v>
      </c>
      <c r="I291" s="258">
        <v>189.6</v>
      </c>
      <c r="J291" s="719">
        <v>0.08</v>
      </c>
      <c r="K291" s="377" t="s">
        <v>191</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171.2</v>
      </c>
      <c r="H292" s="297">
        <v>9.7000000000000003E-2</v>
      </c>
      <c r="I292" s="258">
        <v>170.33</v>
      </c>
      <c r="J292" s="719">
        <v>0.08</v>
      </c>
      <c r="K292" s="377" t="s">
        <v>191</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139.44999999999999</v>
      </c>
      <c r="H293" s="257">
        <v>6.782</v>
      </c>
      <c r="I293" s="257">
        <v>139.94</v>
      </c>
      <c r="J293" s="721">
        <v>8.1</v>
      </c>
      <c r="K293" s="377" t="s">
        <v>191</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237.93</v>
      </c>
      <c r="H294" s="297">
        <v>1.8240000000000001</v>
      </c>
      <c r="I294" s="656">
        <v>239.14</v>
      </c>
      <c r="J294" s="722">
        <v>2.5</v>
      </c>
      <c r="K294" s="377" t="s">
        <v>191</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120.25</v>
      </c>
      <c r="H295" s="257">
        <v>3.2050000000000001</v>
      </c>
      <c r="I295" s="257">
        <v>120.61</v>
      </c>
      <c r="J295" s="718">
        <v>3.89</v>
      </c>
      <c r="K295" s="377" t="s">
        <v>191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110.36</v>
      </c>
      <c r="H296" s="257">
        <v>2.371</v>
      </c>
      <c r="I296" s="257">
        <v>110.55</v>
      </c>
      <c r="J296" s="718">
        <v>2.73</v>
      </c>
      <c r="K296" s="377" t="s">
        <v>191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69.33</v>
      </c>
      <c r="H297" s="297">
        <v>29.43</v>
      </c>
      <c r="I297" s="257">
        <v>66.36</v>
      </c>
      <c r="J297" s="721">
        <v>23.64</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183.92</v>
      </c>
      <c r="H298" s="297">
        <v>377.56</v>
      </c>
      <c r="I298" s="257">
        <v>176.07</v>
      </c>
      <c r="J298" s="714">
        <v>300.02999999999997</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229.16</v>
      </c>
      <c r="H299" s="297">
        <v>6.36</v>
      </c>
      <c r="I299" s="257">
        <v>229.63</v>
      </c>
      <c r="J299" s="721">
        <v>8.6669999999999998</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149.24</v>
      </c>
      <c r="H300" s="333">
        <v>10.34</v>
      </c>
      <c r="I300" s="316">
        <v>149.44</v>
      </c>
      <c r="J300" s="716">
        <v>11.07</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39.020000000000003</v>
      </c>
      <c r="J301" s="718">
        <v>0.47299999999999998</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1451.3359999999996</v>
      </c>
      <c r="I303" s="319"/>
      <c r="J303" s="281">
        <f>SUM(J262:J302)</f>
        <v>1543.1909999999998</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1.0632899618007134</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0.80012680953853921</v>
      </c>
      <c r="I305" s="326"/>
      <c r="J305" s="267">
        <f>+J303/F303</f>
        <v>0.85076680474996014</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18</v>
      </c>
      <c r="G307" s="566" t="s">
        <v>259</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60" t="s">
        <v>20</v>
      </c>
      <c r="F308" s="861"/>
      <c r="G308" s="468" t="s">
        <v>94</v>
      </c>
      <c r="H308" s="469"/>
      <c r="I308" s="860" t="s">
        <v>22</v>
      </c>
      <c r="J308" s="861"/>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55.77</v>
      </c>
      <c r="H312" s="447">
        <v>31.143999999999998</v>
      </c>
      <c r="I312" s="670">
        <v>55.23</v>
      </c>
      <c r="J312" s="707">
        <v>28.065000000000001</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338.89</v>
      </c>
      <c r="H313" s="297">
        <v>7.26</v>
      </c>
      <c r="I313" s="257">
        <v>339.5</v>
      </c>
      <c r="J313" s="708">
        <v>7.77</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74.11</v>
      </c>
      <c r="H314" s="297">
        <v>29.640999999999998</v>
      </c>
      <c r="I314" s="257">
        <v>77.2</v>
      </c>
      <c r="J314" s="708">
        <v>47.082999999999998</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462.04</v>
      </c>
      <c r="H315" s="329">
        <v>29.623000000000001</v>
      </c>
      <c r="I315" s="315">
        <v>462.11</v>
      </c>
      <c r="J315" s="709">
        <v>30.783000000000001</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205.82</v>
      </c>
      <c r="H316" s="258">
        <v>8.2189999999999994</v>
      </c>
      <c r="I316" s="664">
        <v>207.02</v>
      </c>
      <c r="J316" s="708">
        <v>9.5299999999999994</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318.05</v>
      </c>
      <c r="H317" s="258">
        <v>4.2510000000000003</v>
      </c>
      <c r="I317" s="664">
        <v>320.02</v>
      </c>
      <c r="J317" s="708">
        <v>5.1609999999999996</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87.8</v>
      </c>
      <c r="H318" s="257">
        <v>580.92600000000004</v>
      </c>
      <c r="I318" s="664">
        <v>89.59</v>
      </c>
      <c r="J318" s="708">
        <v>662.88400000000001</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119.21</v>
      </c>
      <c r="H319" s="297">
        <v>1.532</v>
      </c>
      <c r="I319" s="331">
        <v>119.97</v>
      </c>
      <c r="J319" s="708">
        <v>1.556</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119</v>
      </c>
      <c r="H320" s="297">
        <v>1.4830000000000001</v>
      </c>
      <c r="I320" s="671">
        <v>119.66</v>
      </c>
      <c r="J320" s="710">
        <v>1.272</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43.8</v>
      </c>
      <c r="H321" s="257">
        <v>2.5009999999999999</v>
      </c>
      <c r="I321" s="664">
        <v>46.51</v>
      </c>
      <c r="J321" s="708">
        <v>4.2060000000000004</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47.84</v>
      </c>
      <c r="H322" s="257">
        <v>1.8160000000000001</v>
      </c>
      <c r="I322" s="668">
        <v>51.47</v>
      </c>
      <c r="J322" s="708">
        <v>2.5630000000000002</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78.319999999999993</v>
      </c>
      <c r="H323" s="620">
        <v>0.65900000000000003</v>
      </c>
      <c r="I323" s="664">
        <v>77.27</v>
      </c>
      <c r="J323" s="708">
        <v>0.8</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82</v>
      </c>
      <c r="H324" s="297">
        <v>0.30299999999999999</v>
      </c>
      <c r="I324" s="664">
        <v>81.489999999999995</v>
      </c>
      <c r="J324" s="708">
        <v>5.5E-2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70.150000000000006</v>
      </c>
      <c r="H325" s="257">
        <v>0.26400000000000001</v>
      </c>
      <c r="I325" s="664">
        <v>63.65</v>
      </c>
      <c r="J325" s="708">
        <v>0.21</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44.99</v>
      </c>
      <c r="H326" s="297">
        <v>9.8000000000000004E-2</v>
      </c>
      <c r="I326" s="664">
        <v>45.82</v>
      </c>
      <c r="J326" s="708">
        <v>0.224</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136</v>
      </c>
      <c r="H327" s="257">
        <v>366.13600000000002</v>
      </c>
      <c r="I327" s="257">
        <v>136.04</v>
      </c>
      <c r="J327" s="711">
        <v>368.07</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112.1</v>
      </c>
      <c r="H328" s="257">
        <v>1.728</v>
      </c>
      <c r="I328" s="258">
        <v>112.18</v>
      </c>
      <c r="J328" s="711">
        <v>1.762</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203.11</v>
      </c>
      <c r="H329" s="257">
        <v>0.23300000000000001</v>
      </c>
      <c r="I329" s="257">
        <v>203.6</v>
      </c>
      <c r="J329" s="711">
        <v>0.28299999999999997</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223.14</v>
      </c>
      <c r="H330" s="257">
        <v>0.35399999999999998</v>
      </c>
      <c r="I330" s="258">
        <v>223.42</v>
      </c>
      <c r="J330" s="712">
        <v>0.375</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195</v>
      </c>
      <c r="H331" s="257">
        <v>0.58399999999999996</v>
      </c>
      <c r="I331" s="258">
        <v>195.96</v>
      </c>
      <c r="J331" s="711">
        <v>0.76400000000000001</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170.57</v>
      </c>
      <c r="H332" s="257">
        <v>0.16300000000000001</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227.7</v>
      </c>
      <c r="H333" s="256">
        <v>0.59199999999999997</v>
      </c>
      <c r="I333" s="368">
        <v>228.87</v>
      </c>
      <c r="J333" s="713">
        <v>0.70299999999999996</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248.2</v>
      </c>
      <c r="H334" s="257">
        <v>1.5669999999999999</v>
      </c>
      <c r="I334" s="258">
        <v>248.67</v>
      </c>
      <c r="J334" s="712">
        <v>1.6990000000000001</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149.35</v>
      </c>
      <c r="H335" s="257">
        <v>2.7919999999999998</v>
      </c>
      <c r="I335" s="257">
        <v>146</v>
      </c>
      <c r="J335" s="712">
        <v>1.1419999999999999</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204.86</v>
      </c>
      <c r="H336" s="258">
        <v>3.2320000000000002</v>
      </c>
      <c r="I336" s="257">
        <v>204.34</v>
      </c>
      <c r="J336" s="711">
        <v>2.92</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325.3</v>
      </c>
      <c r="H337" s="258">
        <v>0.622</v>
      </c>
      <c r="I337" s="258">
        <v>324.83999999999997</v>
      </c>
      <c r="J337" s="712">
        <v>0.57799999999999996</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129</v>
      </c>
      <c r="H338" s="257">
        <v>0.68300000000000005</v>
      </c>
      <c r="I338" s="258">
        <v>129.1</v>
      </c>
      <c r="J338" s="711">
        <v>0.7</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282.7</v>
      </c>
      <c r="H339" s="257">
        <v>0.45800000000000002</v>
      </c>
      <c r="I339" s="257">
        <v>282.75</v>
      </c>
      <c r="J339" s="711">
        <v>0.46300000000000002</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98.43</v>
      </c>
      <c r="H340" s="257">
        <v>2.472</v>
      </c>
      <c r="I340" s="257">
        <v>98.96</v>
      </c>
      <c r="J340" s="711">
        <v>2.8849999999999998</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189.5</v>
      </c>
      <c r="H341" s="257">
        <v>7.5999999999999998E-2</v>
      </c>
      <c r="I341" s="258">
        <v>189.59</v>
      </c>
      <c r="J341" s="712">
        <v>7.8E-2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171.2</v>
      </c>
      <c r="H342" s="297">
        <v>9.7000000000000003E-2</v>
      </c>
      <c r="I342" s="258">
        <v>170.35</v>
      </c>
      <c r="J342" s="712">
        <v>7.6999999999999999E-2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139.44999999999999</v>
      </c>
      <c r="H343" s="257">
        <v>6.782</v>
      </c>
      <c r="I343" s="257">
        <v>139.94</v>
      </c>
      <c r="J343" s="714">
        <v>8.0969999999999995</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237.93</v>
      </c>
      <c r="H344" s="297">
        <v>1.8240000000000001</v>
      </c>
      <c r="I344" s="257">
        <v>239.16</v>
      </c>
      <c r="J344" s="714">
        <v>2.5089999999999999</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120.25</v>
      </c>
      <c r="H345" s="257">
        <v>3.2050000000000001</v>
      </c>
      <c r="I345" s="257">
        <v>120.63</v>
      </c>
      <c r="J345" s="711">
        <v>3.9249999999999998</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110.36</v>
      </c>
      <c r="H346" s="257">
        <v>2.371</v>
      </c>
      <c r="I346" s="257">
        <v>110.54</v>
      </c>
      <c r="J346" s="711">
        <v>2.7120000000000002</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69.33</v>
      </c>
      <c r="H347" s="297">
        <v>29.43</v>
      </c>
      <c r="I347" s="257">
        <v>66.48</v>
      </c>
      <c r="J347" s="714">
        <v>23.86</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183.92</v>
      </c>
      <c r="H348" s="297">
        <v>377.56</v>
      </c>
      <c r="I348" s="257">
        <v>176.15</v>
      </c>
      <c r="J348" s="714">
        <v>300.77999999999997</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229.16</v>
      </c>
      <c r="H349" s="297">
        <v>6.36</v>
      </c>
      <c r="I349" s="257">
        <v>229.7</v>
      </c>
      <c r="J349" s="715">
        <v>9.0370000000000008</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149.24</v>
      </c>
      <c r="H350" s="333">
        <v>10.34</v>
      </c>
      <c r="I350" s="316">
        <v>149.47</v>
      </c>
      <c r="J350" s="716">
        <v>11.09</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39.020000000000003</v>
      </c>
      <c r="J351" s="717">
        <v>0.47299999999999998</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1451.3359999999996</v>
      </c>
      <c r="I353" s="319"/>
      <c r="J353" s="281">
        <f>SUM(J312:J352)</f>
        <v>1547.8969999999997</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1.0665324914423677</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0.80012680953853921</v>
      </c>
      <c r="I355" s="326"/>
      <c r="J355" s="267">
        <f>+J353/F353</f>
        <v>0.85336123964697108</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-3.2281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8:M14 M26:M47 M49:M51 M53:M54 M56:M61 N63:N78 M103:M106 M109:M115 M127:M148 M150 M153:M162 M164:M198 M200:M211 M303:M311 M353:M456">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0"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3" t="s">
        <v>156</v>
      </c>
      <c r="C2" s="873"/>
      <c r="D2" s="873"/>
      <c r="E2" s="873"/>
      <c r="F2" s="873"/>
      <c r="G2" s="873"/>
      <c r="H2" s="873"/>
      <c r="I2" s="873"/>
      <c r="J2" s="873"/>
      <c r="K2" s="170"/>
    </row>
    <row r="3" spans="2:12" x14ac:dyDescent="0.2">
      <c r="B3" s="873" t="s">
        <v>253</v>
      </c>
      <c r="C3" s="873"/>
      <c r="D3" s="873"/>
      <c r="E3" s="873"/>
      <c r="F3" s="873"/>
      <c r="G3" s="873"/>
      <c r="H3" s="873"/>
      <c r="I3" s="873"/>
      <c r="J3" s="873"/>
      <c r="K3" s="170"/>
    </row>
    <row r="4" spans="2:12" x14ac:dyDescent="0.2">
      <c r="B4" s="874" t="str">
        <f>+UTAMA!B4</f>
        <v xml:space="preserve">MINGGU KE III APRIL ( 18 APRIL S/D 24 APRIL 2023 ) dalam Juta m3  </v>
      </c>
      <c r="C4" s="874"/>
      <c r="D4" s="874"/>
      <c r="E4" s="874"/>
      <c r="F4" s="874"/>
      <c r="G4" s="874"/>
      <c r="H4" s="874"/>
      <c r="I4" s="874"/>
      <c r="J4" s="874"/>
      <c r="K4" s="171"/>
    </row>
    <row r="5" spans="2:12" ht="13.5" thickBot="1" x14ac:dyDescent="0.25">
      <c r="B5" s="169"/>
      <c r="C5" s="169"/>
      <c r="D5" s="169"/>
      <c r="E5" s="169"/>
      <c r="F5" s="169"/>
      <c r="G5" s="169"/>
      <c r="H5" s="169"/>
      <c r="I5" s="169"/>
      <c r="J5" s="169"/>
      <c r="K5" s="169"/>
    </row>
    <row r="6" spans="2:12" ht="14.25" x14ac:dyDescent="0.2">
      <c r="B6" s="879" t="s">
        <v>18</v>
      </c>
      <c r="C6" s="877" t="s">
        <v>271</v>
      </c>
      <c r="D6" s="875" t="s">
        <v>92</v>
      </c>
      <c r="E6" s="205" t="s">
        <v>25</v>
      </c>
      <c r="F6" s="883" t="s">
        <v>93</v>
      </c>
      <c r="G6" s="884"/>
      <c r="H6" s="881" t="s">
        <v>157</v>
      </c>
      <c r="I6" s="882"/>
      <c r="J6" s="570" t="s">
        <v>69</v>
      </c>
      <c r="K6" s="203" t="s">
        <v>125</v>
      </c>
    </row>
    <row r="7" spans="2:12" x14ac:dyDescent="0.2">
      <c r="B7" s="880"/>
      <c r="C7" s="878"/>
      <c r="D7" s="876"/>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55.77</v>
      </c>
      <c r="G9" s="579">
        <f>+UTAMA!I11</f>
        <v>55.12</v>
      </c>
      <c r="H9" s="580">
        <f>+UTAMA!H11</f>
        <v>31.143999999999998</v>
      </c>
      <c r="I9" s="580">
        <f>+UTAMA!J11</f>
        <v>27.443999999999999</v>
      </c>
      <c r="J9" s="175">
        <f>IFERROR(+I9/H9*100%*100,0)</f>
        <v>88.119702029283332</v>
      </c>
      <c r="K9" s="176"/>
    </row>
    <row r="10" spans="2:12" ht="15" customHeight="1" x14ac:dyDescent="0.2">
      <c r="B10" s="574">
        <f t="shared" ref="B10:B16" si="0">+B9+1</f>
        <v>2</v>
      </c>
      <c r="C10" s="576" t="s">
        <v>30</v>
      </c>
      <c r="D10" s="577">
        <v>17481</v>
      </c>
      <c r="E10" s="578">
        <f>UTAMA!F13</f>
        <v>45.13</v>
      </c>
      <c r="F10" s="578">
        <f>+UTAMA!G13</f>
        <v>74.11</v>
      </c>
      <c r="G10" s="581">
        <f>+UTAMA!I13</f>
        <v>76.86</v>
      </c>
      <c r="H10" s="582">
        <f>+UTAMA!H13</f>
        <v>29.640999999999998</v>
      </c>
      <c r="I10" s="583">
        <f>+UTAMA!J13</f>
        <v>44.915999999999997</v>
      </c>
      <c r="J10" s="175">
        <f>IFERROR(+I10/H10*100%*100,0)</f>
        <v>151.5333490772916</v>
      </c>
      <c r="K10" s="176"/>
    </row>
    <row r="11" spans="2:12" ht="15" customHeight="1" x14ac:dyDescent="0.2">
      <c r="B11" s="574">
        <f t="shared" si="0"/>
        <v>3</v>
      </c>
      <c r="C11" s="576" t="s">
        <v>31</v>
      </c>
      <c r="D11" s="577">
        <v>19972</v>
      </c>
      <c r="E11" s="578">
        <f>UTAMA!F14</f>
        <v>49.9</v>
      </c>
      <c r="F11" s="578">
        <f>+UTAMA!G14</f>
        <v>462.04</v>
      </c>
      <c r="G11" s="581">
        <f>+UTAMA!I14</f>
        <v>462.2</v>
      </c>
      <c r="H11" s="582">
        <f>+UTAMA!H14</f>
        <v>29.623000000000001</v>
      </c>
      <c r="I11" s="583">
        <f>+UTAMA!J14</f>
        <v>32.317999999999998</v>
      </c>
      <c r="J11" s="175">
        <f t="shared" ref="J11:J17" si="1">IFERROR(+I11/H11*100%*100,0)</f>
        <v>109.09766060155958</v>
      </c>
      <c r="K11" s="176"/>
      <c r="L11" s="397"/>
    </row>
    <row r="12" spans="2:12" ht="15" customHeight="1" x14ac:dyDescent="0.2">
      <c r="B12" s="574">
        <v>1</v>
      </c>
      <c r="C12" s="576" t="s">
        <v>34</v>
      </c>
      <c r="D12" s="577">
        <v>59544</v>
      </c>
      <c r="E12" s="578">
        <v>689.09</v>
      </c>
      <c r="F12" s="578">
        <f>+UTAMA!G17</f>
        <v>87.8</v>
      </c>
      <c r="G12" s="578">
        <f>+UTAMA!I17</f>
        <v>89.28</v>
      </c>
      <c r="H12" s="582">
        <f>+UTAMA!H17</f>
        <v>580.92600000000004</v>
      </c>
      <c r="I12" s="582">
        <f>UTAMA!J17</f>
        <v>647.80700000000002</v>
      </c>
      <c r="J12" s="175">
        <f>IFERROR(+I12/H12*100%*100,0)</f>
        <v>111.5128260742332</v>
      </c>
      <c r="K12" s="177"/>
    </row>
    <row r="13" spans="2:12" ht="15" customHeight="1" x14ac:dyDescent="0.2">
      <c r="B13" s="574">
        <f t="shared" si="0"/>
        <v>2</v>
      </c>
      <c r="C13" s="576" t="s">
        <v>44</v>
      </c>
      <c r="D13" s="577">
        <v>28109</v>
      </c>
      <c r="E13" s="678">
        <f>UTAMA!F26</f>
        <v>398.69</v>
      </c>
      <c r="F13" s="578">
        <f>+UTAMA!G26</f>
        <v>136</v>
      </c>
      <c r="G13" s="581">
        <f>+UTAMA!I26</f>
        <v>135.96</v>
      </c>
      <c r="H13" s="580">
        <f>+UTAMA!H26</f>
        <v>366.13600000000002</v>
      </c>
      <c r="I13" s="580">
        <f>+UTAMA!J26</f>
        <v>363.98</v>
      </c>
      <c r="J13" s="175">
        <f t="shared" si="1"/>
        <v>99.411147770227458</v>
      </c>
      <c r="K13" s="177"/>
    </row>
    <row r="14" spans="2:12" ht="15" customHeight="1" x14ac:dyDescent="0.2">
      <c r="B14" s="574">
        <f t="shared" si="0"/>
        <v>3</v>
      </c>
      <c r="C14" s="576" t="s">
        <v>64</v>
      </c>
      <c r="D14" s="577">
        <v>6485</v>
      </c>
      <c r="E14" s="578">
        <f>UTAMA!F46</f>
        <v>38.036000000000001</v>
      </c>
      <c r="F14" s="578">
        <f>+UTAMA!G46</f>
        <v>69.33</v>
      </c>
      <c r="G14" s="581">
        <f>+UTAMA!I46</f>
        <v>65.91</v>
      </c>
      <c r="H14" s="582">
        <f>+UTAMA!H46</f>
        <v>29.43</v>
      </c>
      <c r="I14" s="583">
        <f>+UTAMA!J46</f>
        <v>22.79</v>
      </c>
      <c r="J14" s="175">
        <f t="shared" si="1"/>
        <v>77.437988447162752</v>
      </c>
      <c r="K14" s="177"/>
    </row>
    <row r="15" spans="2:12" ht="15" customHeight="1" x14ac:dyDescent="0.2">
      <c r="B15" s="574">
        <f t="shared" si="0"/>
        <v>4</v>
      </c>
      <c r="C15" s="576" t="s">
        <v>65</v>
      </c>
      <c r="D15" s="577">
        <v>31109</v>
      </c>
      <c r="E15" s="578">
        <f>UTAMA!F47</f>
        <v>388.72199999999998</v>
      </c>
      <c r="F15" s="578">
        <f>+UTAMA!G47</f>
        <v>183.92</v>
      </c>
      <c r="G15" s="581">
        <f>+UTAMA!I47</f>
        <v>175.79</v>
      </c>
      <c r="H15" s="582">
        <f>+UTAMA!H47</f>
        <v>377.56</v>
      </c>
      <c r="I15" s="583">
        <f>+UTAMA!J47</f>
        <v>297.42</v>
      </c>
      <c r="J15" s="175">
        <f t="shared" si="1"/>
        <v>78.774234558745633</v>
      </c>
      <c r="K15" s="177"/>
    </row>
    <row r="16" spans="2:12" ht="15" customHeight="1" x14ac:dyDescent="0.2">
      <c r="B16" s="574">
        <f t="shared" si="0"/>
        <v>5</v>
      </c>
      <c r="C16" s="576" t="s">
        <v>66</v>
      </c>
      <c r="D16" s="577">
        <v>8400</v>
      </c>
      <c r="E16" s="578">
        <f>UTAMA!F48</f>
        <v>23.24</v>
      </c>
      <c r="F16" s="578">
        <f>+UTAMA!G48</f>
        <v>229.2</v>
      </c>
      <c r="G16" s="581">
        <f>+UTAMA!I48</f>
        <v>229.61</v>
      </c>
      <c r="H16" s="582">
        <f>+UTAMA!H48</f>
        <v>6.5439999999999996</v>
      </c>
      <c r="I16" s="583">
        <f>+UTAMA!J48</f>
        <v>8.5619999999999994</v>
      </c>
      <c r="J16" s="175">
        <f t="shared" si="1"/>
        <v>130.83740831295842</v>
      </c>
      <c r="K16" s="177"/>
      <c r="L16" s="397"/>
    </row>
    <row r="17" spans="2:11" ht="15" customHeight="1" x14ac:dyDescent="0.2">
      <c r="B17" s="574">
        <v>9</v>
      </c>
      <c r="C17" s="576" t="s">
        <v>218</v>
      </c>
      <c r="D17" s="577">
        <v>0</v>
      </c>
      <c r="E17" s="426">
        <f>UTAMA!F49</f>
        <v>17.670000000000002</v>
      </c>
      <c r="F17" s="578">
        <f>+UTAMA!G49</f>
        <v>149.24</v>
      </c>
      <c r="G17" s="581">
        <f>+UTAMA!I49</f>
        <v>149.41</v>
      </c>
      <c r="H17" s="582">
        <f>+UTAMA!H49</f>
        <v>10.34</v>
      </c>
      <c r="I17" s="583">
        <f>+UTAMA!J49</f>
        <v>11.03</v>
      </c>
      <c r="J17" s="175">
        <f t="shared" si="1"/>
        <v>106.67311411992262</v>
      </c>
      <c r="K17" s="177"/>
    </row>
    <row r="18" spans="2:11" ht="15" customHeight="1" thickBot="1" x14ac:dyDescent="0.25">
      <c r="B18" s="584"/>
      <c r="C18" s="585" t="s">
        <v>89</v>
      </c>
      <c r="D18" s="586">
        <f>SUM(D9:D16)</f>
        <v>206262</v>
      </c>
      <c r="E18" s="587">
        <f>SUM(E9:E17)</f>
        <v>1681.6225980000002</v>
      </c>
      <c r="F18" s="587"/>
      <c r="G18" s="586"/>
      <c r="H18" s="588">
        <f>SUM(H9:H17)</f>
        <v>1461.3440000000001</v>
      </c>
      <c r="I18" s="588">
        <f>SUM(I9:I17)</f>
        <v>1456.2670000000001</v>
      </c>
      <c r="J18" s="589">
        <f>I18/H18*100</f>
        <v>99.652580090656272</v>
      </c>
      <c r="K18" s="424"/>
    </row>
    <row r="19" spans="2:11" ht="15" customHeight="1" thickBot="1" x14ac:dyDescent="0.25">
      <c r="B19" s="590"/>
      <c r="C19" s="591" t="s">
        <v>69</v>
      </c>
      <c r="D19" s="591"/>
      <c r="E19" s="592"/>
      <c r="F19" s="593"/>
      <c r="G19" s="594"/>
      <c r="H19" s="595" t="s">
        <v>95</v>
      </c>
      <c r="I19" s="596">
        <f>+I18/H18*100%</f>
        <v>0.99652580090656273</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5</v>
      </c>
      <c r="K22" s="171"/>
    </row>
    <row r="23" spans="2:11" ht="15" customHeight="1" x14ac:dyDescent="0.2">
      <c r="B23" s="597"/>
      <c r="C23" s="597" t="s">
        <v>100</v>
      </c>
      <c r="D23" s="599" t="s">
        <v>98</v>
      </c>
      <c r="E23" s="599"/>
      <c r="F23" s="597" t="s">
        <v>101</v>
      </c>
      <c r="G23" s="597"/>
      <c r="H23" s="597"/>
      <c r="I23" s="170" t="s">
        <v>177</v>
      </c>
      <c r="J23" s="601">
        <f>COUNTIFS(J9:J17,"&gt;=85",J9:J17,"&lt;=100")</f>
        <v>2</v>
      </c>
      <c r="K23" s="171"/>
    </row>
    <row r="24" spans="2:11" ht="15" customHeight="1" x14ac:dyDescent="0.2">
      <c r="B24" s="597"/>
      <c r="C24" s="597" t="s">
        <v>102</v>
      </c>
      <c r="D24" s="599" t="s">
        <v>98</v>
      </c>
      <c r="E24" s="599"/>
      <c r="F24" s="597" t="s">
        <v>103</v>
      </c>
      <c r="G24" s="597"/>
      <c r="H24" s="597"/>
      <c r="I24" s="170" t="s">
        <v>177</v>
      </c>
      <c r="J24" s="602">
        <f>COUNTIFS(J9:J17,"&gt;0",J9:J17,"&lt;85")</f>
        <v>2</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3" t="s">
        <v>89</v>
      </c>
      <c r="H26" s="873"/>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7"/>
  <sheetViews>
    <sheetView showGridLines="0" tabSelected="1" zoomScale="90" zoomScaleNormal="90" workbookViewId="0">
      <selection activeCell="A5" sqref="A5:J49"/>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08"/>
      <c r="C1" s="82"/>
      <c r="D1" s="82"/>
      <c r="E1" s="82"/>
      <c r="F1" s="82"/>
      <c r="G1" s="82"/>
      <c r="H1" s="82"/>
    </row>
    <row r="2" spans="2:10" ht="18" x14ac:dyDescent="0.2">
      <c r="B2" s="885" t="s">
        <v>158</v>
      </c>
      <c r="C2" s="885"/>
      <c r="D2" s="885"/>
      <c r="E2" s="885"/>
      <c r="F2" s="885"/>
      <c r="G2" s="885"/>
      <c r="H2" s="885"/>
      <c r="I2" s="885"/>
      <c r="J2" s="885"/>
    </row>
    <row r="3" spans="2:10" ht="15.75" x14ac:dyDescent="0.2">
      <c r="B3" s="885" t="s">
        <v>253</v>
      </c>
      <c r="C3" s="885"/>
      <c r="D3" s="885"/>
      <c r="E3" s="885"/>
      <c r="F3" s="885"/>
      <c r="G3" s="885"/>
      <c r="H3" s="885"/>
      <c r="I3" s="885"/>
      <c r="J3" s="885"/>
    </row>
    <row r="4" spans="2:10" ht="15.75" x14ac:dyDescent="0.2">
      <c r="B4" s="885" t="str">
        <f>+UTAMA!B4</f>
        <v xml:space="preserve">MINGGU KE III APRIL ( 18 APRIL S/D 24 APRIL 2023 ) dalam Juta m3  </v>
      </c>
      <c r="C4" s="885"/>
      <c r="D4" s="885"/>
      <c r="E4" s="885"/>
      <c r="F4" s="885"/>
      <c r="G4" s="885"/>
      <c r="H4" s="885"/>
      <c r="I4" s="885"/>
      <c r="J4" s="885"/>
    </row>
    <row r="5" spans="2:10" ht="13.5" customHeight="1" thickBot="1" x14ac:dyDescent="0.25"/>
    <row r="6" spans="2:10" ht="21" customHeight="1" x14ac:dyDescent="0.2">
      <c r="B6" s="888" t="s">
        <v>18</v>
      </c>
      <c r="C6" s="886" t="s">
        <v>271</v>
      </c>
      <c r="D6" s="251" t="s">
        <v>105</v>
      </c>
      <c r="E6" s="252" t="s">
        <v>25</v>
      </c>
      <c r="F6" s="890" t="s">
        <v>106</v>
      </c>
      <c r="G6" s="891"/>
      <c r="H6" s="892" t="s">
        <v>159</v>
      </c>
      <c r="I6" s="893"/>
      <c r="J6" s="253" t="s">
        <v>69</v>
      </c>
    </row>
    <row r="7" spans="2:10" ht="15.75" x14ac:dyDescent="0.2">
      <c r="B7" s="889"/>
      <c r="C7" s="887"/>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hidden="1" x14ac:dyDescent="0.2">
      <c r="B9" s="612">
        <v>1</v>
      </c>
      <c r="C9" s="615" t="s">
        <v>29</v>
      </c>
      <c r="D9" s="616">
        <v>28310</v>
      </c>
      <c r="E9" s="617">
        <f>UTAMA!F12</f>
        <v>7.77</v>
      </c>
      <c r="F9" s="618">
        <f>+UTAMA!G12</f>
        <v>338.89</v>
      </c>
      <c r="G9" s="619">
        <f>+UTAMA!I12</f>
        <v>339.54</v>
      </c>
      <c r="H9" s="620">
        <f>+UTAMA!H12</f>
        <v>7.26</v>
      </c>
      <c r="I9" s="620">
        <f>+UTAMA!J12</f>
        <v>7.8</v>
      </c>
      <c r="J9" s="621">
        <f t="shared" ref="J9:J40" si="0">IFERROR(+I9/H9*100%*100,0)</f>
        <v>107.43801652892562</v>
      </c>
    </row>
    <row r="10" spans="2:10" ht="15.75" hidden="1" x14ac:dyDescent="0.2">
      <c r="B10" s="612">
        <f>1+B9</f>
        <v>2</v>
      </c>
      <c r="C10" s="615" t="s">
        <v>32</v>
      </c>
      <c r="D10" s="616">
        <v>4959</v>
      </c>
      <c r="E10" s="617">
        <f>UTAMA!F15</f>
        <v>9.5030000000000001</v>
      </c>
      <c r="F10" s="618">
        <f>+UTAMA!G15</f>
        <v>205.82</v>
      </c>
      <c r="G10" s="619">
        <f>+UTAMA!I15</f>
        <v>207.02</v>
      </c>
      <c r="H10" s="620">
        <f>+UTAMA!H15</f>
        <v>8.2189999999999994</v>
      </c>
      <c r="I10" s="620">
        <f>UTAMA!J15</f>
        <v>9.5299999999999994</v>
      </c>
      <c r="J10" s="621">
        <f t="shared" si="0"/>
        <v>115.95084560165469</v>
      </c>
    </row>
    <row r="11" spans="2:10" ht="15.75" hidden="1" x14ac:dyDescent="0.2">
      <c r="B11" s="612">
        <f t="shared" ref="B11:B40" si="1">+B10+1</f>
        <v>3</v>
      </c>
      <c r="C11" s="615" t="s">
        <v>33</v>
      </c>
      <c r="D11" s="616">
        <v>6052</v>
      </c>
      <c r="E11" s="617">
        <f>UTAMA!F16</f>
        <v>5.1509999999999998</v>
      </c>
      <c r="F11" s="618">
        <f>+UTAMA!G16</f>
        <v>318.05</v>
      </c>
      <c r="G11" s="619">
        <f>+UTAMA!I16</f>
        <v>320.02</v>
      </c>
      <c r="H11" s="620">
        <f>+UTAMA!H16</f>
        <v>4.2510000000000003</v>
      </c>
      <c r="I11" s="620">
        <f>UTAMA!J16</f>
        <v>5.1609999999999996</v>
      </c>
      <c r="J11" s="621">
        <f t="shared" si="0"/>
        <v>121.40672782874616</v>
      </c>
    </row>
    <row r="12" spans="2:10" ht="15.75" hidden="1" x14ac:dyDescent="0.2">
      <c r="B12" s="612">
        <f t="shared" si="1"/>
        <v>4</v>
      </c>
      <c r="C12" s="615" t="s">
        <v>35</v>
      </c>
      <c r="D12" s="616">
        <v>923</v>
      </c>
      <c r="E12" s="617">
        <f>UTAMA!F18</f>
        <v>2.0920000000000001</v>
      </c>
      <c r="F12" s="618">
        <f>+UTAMA!G18</f>
        <v>119.21</v>
      </c>
      <c r="G12" s="622">
        <f>+UTAMA!I18</f>
        <v>119.97</v>
      </c>
      <c r="H12" s="620">
        <f>+UTAMA!H18</f>
        <v>1.532</v>
      </c>
      <c r="I12" s="623">
        <f>UTAMA!J18</f>
        <v>1.556</v>
      </c>
      <c r="J12" s="621">
        <f t="shared" si="0"/>
        <v>101.56657963446476</v>
      </c>
    </row>
    <row r="13" spans="2:10" ht="15.75" hidden="1" x14ac:dyDescent="0.2">
      <c r="B13" s="612">
        <f t="shared" si="1"/>
        <v>5</v>
      </c>
      <c r="C13" s="615" t="s">
        <v>36</v>
      </c>
      <c r="D13" s="616">
        <v>251</v>
      </c>
      <c r="E13" s="617">
        <f>UTAMA!F19</f>
        <v>2.3530000000000002</v>
      </c>
      <c r="F13" s="618">
        <f>+UTAMA!G19</f>
        <v>119</v>
      </c>
      <c r="G13" s="622">
        <f>+UTAMA!I19</f>
        <v>119.68</v>
      </c>
      <c r="H13" s="620">
        <f>+UTAMA!H19</f>
        <v>1.4830000000000001</v>
      </c>
      <c r="I13" s="623">
        <f>UTAMA!J19</f>
        <v>1.2010000000000001</v>
      </c>
      <c r="J13" s="621">
        <f t="shared" si="0"/>
        <v>80.984490896830749</v>
      </c>
    </row>
    <row r="14" spans="2:10" ht="15.75" hidden="1" x14ac:dyDescent="0.2">
      <c r="B14" s="612">
        <f t="shared" si="1"/>
        <v>6</v>
      </c>
      <c r="C14" s="615" t="s">
        <v>37</v>
      </c>
      <c r="D14" s="616">
        <v>440</v>
      </c>
      <c r="E14" s="617">
        <f>UTAMA!F20</f>
        <v>4.5999999999999996</v>
      </c>
      <c r="F14" s="618">
        <f>+UTAMA!G20</f>
        <v>43.8</v>
      </c>
      <c r="G14" s="622">
        <f>+UTAMA!I20</f>
        <v>46.51</v>
      </c>
      <c r="H14" s="620">
        <f>+UTAMA!H20</f>
        <v>2.5009999999999999</v>
      </c>
      <c r="I14" s="623">
        <f>UTAMA!J20</f>
        <v>4.2060000000000004</v>
      </c>
      <c r="J14" s="621">
        <f t="shared" si="0"/>
        <v>168.17273090763695</v>
      </c>
    </row>
    <row r="15" spans="2:10" ht="15.75" hidden="1" x14ac:dyDescent="0.2">
      <c r="B15" s="612">
        <f t="shared" si="1"/>
        <v>7</v>
      </c>
      <c r="C15" s="615" t="s">
        <v>39</v>
      </c>
      <c r="D15" s="616">
        <v>775</v>
      </c>
      <c r="E15" s="617">
        <f>UTAMA!F21</f>
        <v>2.4159999999999999</v>
      </c>
      <c r="F15" s="618">
        <f>+UTAMA!G21</f>
        <v>47.84</v>
      </c>
      <c r="G15" s="619">
        <f>+UTAMA!I21</f>
        <v>51.45</v>
      </c>
      <c r="H15" s="620">
        <f>+UTAMA!H21</f>
        <v>1.8160000000000001</v>
      </c>
      <c r="I15" s="620">
        <f>UTAMA!J21</f>
        <v>2.548</v>
      </c>
      <c r="J15" s="621">
        <f t="shared" si="0"/>
        <v>140.30837004405285</v>
      </c>
    </row>
    <row r="16" spans="2:10" ht="15.75" hidden="1" x14ac:dyDescent="0.2">
      <c r="B16" s="612">
        <f t="shared" si="1"/>
        <v>8</v>
      </c>
      <c r="C16" s="615" t="s">
        <v>40</v>
      </c>
      <c r="D16" s="616">
        <v>750</v>
      </c>
      <c r="E16" s="617">
        <f>UTAMA!F22</f>
        <v>1.093</v>
      </c>
      <c r="F16" s="618">
        <f>+UTAMA!G22</f>
        <v>78.319999999999993</v>
      </c>
      <c r="G16" s="619">
        <f>+UTAMA!I22</f>
        <v>77.150000000000006</v>
      </c>
      <c r="H16" s="620">
        <f>+UTAMA!H22</f>
        <v>0.65900000000000003</v>
      </c>
      <c r="I16" s="620">
        <f>UTAMA!J22</f>
        <v>0.78100000000000003</v>
      </c>
      <c r="J16" s="621">
        <f t="shared" si="0"/>
        <v>118.51289833080425</v>
      </c>
    </row>
    <row r="17" spans="2:10" ht="15.75" hidden="1" x14ac:dyDescent="0.2">
      <c r="B17" s="612">
        <f t="shared" si="1"/>
        <v>9</v>
      </c>
      <c r="C17" s="615" t="s">
        <v>41</v>
      </c>
      <c r="D17" s="616">
        <v>482</v>
      </c>
      <c r="E17" s="617">
        <v>0.42899999999999999</v>
      </c>
      <c r="F17" s="618">
        <f>+UTAMA!G23</f>
        <v>82</v>
      </c>
      <c r="G17" s="619">
        <f>+UTAMA!I23</f>
        <v>81.56</v>
      </c>
      <c r="H17" s="620">
        <f>+UTAMA!H23</f>
        <v>0.30299999999999999</v>
      </c>
      <c r="I17" s="620">
        <f>UTAMA!J23</f>
        <v>5.8999999999999997E-2</v>
      </c>
      <c r="J17" s="621">
        <f t="shared" si="0"/>
        <v>19.471947194719473</v>
      </c>
    </row>
    <row r="18" spans="2:10" ht="15.75" hidden="1" x14ac:dyDescent="0.2">
      <c r="B18" s="612">
        <f t="shared" si="1"/>
        <v>10</v>
      </c>
      <c r="C18" s="615" t="s">
        <v>42</v>
      </c>
      <c r="D18" s="616">
        <v>366</v>
      </c>
      <c r="E18" s="617">
        <f>UTAMA!F24</f>
        <v>0.25</v>
      </c>
      <c r="F18" s="618">
        <f>+UTAMA!G24</f>
        <v>70.150000000000006</v>
      </c>
      <c r="G18" s="622">
        <f>+UTAMA!I24</f>
        <v>63.61</v>
      </c>
      <c r="H18" s="620">
        <f>+UTAMA!H24</f>
        <v>0.26400000000000001</v>
      </c>
      <c r="I18" s="623">
        <f>UTAMA!J24</f>
        <v>0.20599999999999999</v>
      </c>
      <c r="J18" s="621">
        <f t="shared" si="0"/>
        <v>78.030303030303031</v>
      </c>
    </row>
    <row r="19" spans="2:10" ht="15.75" hidden="1" x14ac:dyDescent="0.2">
      <c r="B19" s="612">
        <f>+B18+1</f>
        <v>11</v>
      </c>
      <c r="C19" s="615" t="s">
        <v>43</v>
      </c>
      <c r="D19" s="616">
        <v>260</v>
      </c>
      <c r="E19" s="617">
        <f>UTAMA!F25</f>
        <v>0.38500000000000001</v>
      </c>
      <c r="F19" s="618">
        <f>+UTAMA!G25</f>
        <v>44.99</v>
      </c>
      <c r="G19" s="622">
        <f>+UTAMA!I25</f>
        <v>45.66</v>
      </c>
      <c r="H19" s="620">
        <f>+UTAMA!H25</f>
        <v>9.8000000000000004E-2</v>
      </c>
      <c r="I19" s="623">
        <f>UTAMA!J25</f>
        <v>0.20399999999999999</v>
      </c>
      <c r="J19" s="621">
        <f t="shared" si="0"/>
        <v>208.16326530612241</v>
      </c>
    </row>
    <row r="20" spans="2:10" ht="15.75" hidden="1" x14ac:dyDescent="0.2">
      <c r="B20" s="612">
        <f>+B19+1</f>
        <v>12</v>
      </c>
      <c r="C20" s="615" t="s">
        <v>45</v>
      </c>
      <c r="D20" s="616">
        <v>340</v>
      </c>
      <c r="E20" s="677">
        <f>UTAMA!F27</f>
        <v>2.3410000000000002</v>
      </c>
      <c r="F20" s="618">
        <f>+UTAMA!G27</f>
        <v>112.1</v>
      </c>
      <c r="G20" s="622">
        <f>+UTAMA!I27</f>
        <v>111.65</v>
      </c>
      <c r="H20" s="620">
        <f>+UTAMA!H27</f>
        <v>1.728</v>
      </c>
      <c r="I20" s="623">
        <f>+UTAMA!J27</f>
        <v>1.5620000000000001</v>
      </c>
      <c r="J20" s="621">
        <f t="shared" si="0"/>
        <v>90.393518518518519</v>
      </c>
    </row>
    <row r="21" spans="2:10" ht="15.75" hidden="1" x14ac:dyDescent="0.2">
      <c r="B21" s="612">
        <f>+B20+1</f>
        <v>13</v>
      </c>
      <c r="C21" s="615" t="s">
        <v>46</v>
      </c>
      <c r="D21" s="616">
        <v>392</v>
      </c>
      <c r="E21" s="677">
        <f>UTAMA!F28</f>
        <v>0.32300000000000001</v>
      </c>
      <c r="F21" s="618">
        <f>+UTAMA!G28</f>
        <v>203.11</v>
      </c>
      <c r="G21" s="622">
        <f>+UTAMA!I28</f>
        <v>203</v>
      </c>
      <c r="H21" s="620">
        <f>+UTAMA!H28</f>
        <v>0.23300000000000001</v>
      </c>
      <c r="I21" s="623">
        <f>+UTAMA!J28</f>
        <v>0.222</v>
      </c>
      <c r="J21" s="621">
        <f t="shared" si="0"/>
        <v>95.278969957081543</v>
      </c>
    </row>
    <row r="22" spans="2:10" ht="15.75" hidden="1" x14ac:dyDescent="0.2">
      <c r="B22" s="612">
        <f t="shared" si="1"/>
        <v>14</v>
      </c>
      <c r="C22" s="615" t="s">
        <v>47</v>
      </c>
      <c r="D22" s="616">
        <v>394</v>
      </c>
      <c r="E22" s="677">
        <f>UTAMA!F29</f>
        <v>0.42899999999999999</v>
      </c>
      <c r="F22" s="618">
        <f>+UTAMA!G29</f>
        <v>223.14</v>
      </c>
      <c r="G22" s="622">
        <f>+UTAMA!I29</f>
        <v>223.38</v>
      </c>
      <c r="H22" s="620">
        <f>+UTAMA!H29</f>
        <v>0.35399999999999998</v>
      </c>
      <c r="I22" s="623">
        <f>+UTAMA!J29</f>
        <v>0.372</v>
      </c>
      <c r="J22" s="621">
        <f t="shared" si="0"/>
        <v>105.08474576271188</v>
      </c>
    </row>
    <row r="23" spans="2:10" ht="15.75" hidden="1" x14ac:dyDescent="0.2">
      <c r="B23" s="612">
        <f t="shared" si="1"/>
        <v>15</v>
      </c>
      <c r="C23" s="615" t="s">
        <v>48</v>
      </c>
      <c r="D23" s="616">
        <v>707</v>
      </c>
      <c r="E23" s="677">
        <f>UTAMA!F30</f>
        <v>0.77100000000000002</v>
      </c>
      <c r="F23" s="618">
        <f>+UTAMA!G30</f>
        <v>195</v>
      </c>
      <c r="G23" s="622">
        <f>+UTAMA!I30</f>
        <v>195.63</v>
      </c>
      <c r="H23" s="620">
        <f>+UTAMA!H30</f>
        <v>0.58399999999999996</v>
      </c>
      <c r="I23" s="623">
        <f>+UTAMA!J30</f>
        <v>0.7</v>
      </c>
      <c r="J23" s="621">
        <f t="shared" si="0"/>
        <v>119.86301369863013</v>
      </c>
    </row>
    <row r="24" spans="2:10" ht="15.75" hidden="1" x14ac:dyDescent="0.2">
      <c r="B24" s="612">
        <f t="shared" si="1"/>
        <v>16</v>
      </c>
      <c r="C24" s="615" t="s">
        <v>49</v>
      </c>
      <c r="D24" s="616">
        <v>92</v>
      </c>
      <c r="E24" s="677">
        <f>UTAMA!F31</f>
        <v>0.22600000000000001</v>
      </c>
      <c r="F24" s="618">
        <f>+UTAMA!G31</f>
        <v>170.57</v>
      </c>
      <c r="G24" s="622">
        <f>+UTAMA!I31</f>
        <v>166</v>
      </c>
      <c r="H24" s="620">
        <f>+UTAMA!H31</f>
        <v>0.16300000000000001</v>
      </c>
      <c r="I24" s="623">
        <f>+UTAMA!J31</f>
        <v>0</v>
      </c>
      <c r="J24" s="621">
        <f t="shared" si="0"/>
        <v>0</v>
      </c>
    </row>
    <row r="25" spans="2:10" ht="15.75" hidden="1" x14ac:dyDescent="0.2">
      <c r="B25" s="612">
        <f t="shared" si="1"/>
        <v>17</v>
      </c>
      <c r="C25" s="615" t="s">
        <v>50</v>
      </c>
      <c r="D25" s="616">
        <v>319</v>
      </c>
      <c r="E25" s="677">
        <f>UTAMA!F32</f>
        <v>0.71399999999999997</v>
      </c>
      <c r="F25" s="618">
        <f>+UTAMA!G32</f>
        <v>227.7</v>
      </c>
      <c r="G25" s="622">
        <f>+UTAMA!I32</f>
        <v>227.99</v>
      </c>
      <c r="H25" s="620">
        <f>+UTAMA!H32</f>
        <v>0.59199999999999997</v>
      </c>
      <c r="I25" s="623">
        <f>+UTAMA!J32</f>
        <v>0.621</v>
      </c>
      <c r="J25" s="621">
        <f t="shared" si="0"/>
        <v>104.89864864864866</v>
      </c>
    </row>
    <row r="26" spans="2:10" ht="15.75" hidden="1" x14ac:dyDescent="0.2">
      <c r="B26" s="612">
        <f t="shared" si="1"/>
        <v>18</v>
      </c>
      <c r="C26" s="615" t="s">
        <v>51</v>
      </c>
      <c r="D26" s="616">
        <v>635</v>
      </c>
      <c r="E26" s="677">
        <f>UTAMA!F33</f>
        <v>1.708</v>
      </c>
      <c r="F26" s="618">
        <f>+UTAMA!G33</f>
        <v>248.2</v>
      </c>
      <c r="G26" s="622">
        <f>+UTAMA!I33</f>
        <v>248.6</v>
      </c>
      <c r="H26" s="620">
        <f>+UTAMA!H33</f>
        <v>1.5669999999999999</v>
      </c>
      <c r="I26" s="623">
        <f>+UTAMA!J33</f>
        <v>1.679</v>
      </c>
      <c r="J26" s="621">
        <f t="shared" si="0"/>
        <v>107.14741544352266</v>
      </c>
    </row>
    <row r="27" spans="2:10" ht="15.75" hidden="1" x14ac:dyDescent="0.2">
      <c r="B27" s="612">
        <f t="shared" si="1"/>
        <v>19</v>
      </c>
      <c r="C27" s="615" t="s">
        <v>52</v>
      </c>
      <c r="D27" s="616">
        <v>2000</v>
      </c>
      <c r="E27" s="677">
        <f>UTAMA!F34</f>
        <v>4.3979999999999997</v>
      </c>
      <c r="F27" s="618">
        <f>+UTAMA!G34</f>
        <v>149.35</v>
      </c>
      <c r="G27" s="619">
        <f>+UTAMA!I34</f>
        <v>146</v>
      </c>
      <c r="H27" s="620">
        <f>+UTAMA!H34</f>
        <v>2.7919999999999998</v>
      </c>
      <c r="I27" s="620">
        <f>+UTAMA!J34</f>
        <v>1.1419999999999999</v>
      </c>
      <c r="J27" s="621">
        <f t="shared" si="0"/>
        <v>40.902578796561606</v>
      </c>
    </row>
    <row r="28" spans="2:10" ht="15.75" hidden="1" x14ac:dyDescent="0.2">
      <c r="B28" s="612">
        <f t="shared" si="1"/>
        <v>20</v>
      </c>
      <c r="C28" s="615" t="s">
        <v>53</v>
      </c>
      <c r="D28" s="616">
        <v>1126</v>
      </c>
      <c r="E28" s="677">
        <f>UTAMA!F35</f>
        <v>3.3109999999999999</v>
      </c>
      <c r="F28" s="618">
        <f>+UTAMA!G35</f>
        <v>204.86</v>
      </c>
      <c r="G28" s="619">
        <f>+UTAMA!I35</f>
        <v>204.46</v>
      </c>
      <c r="H28" s="620">
        <f>+UTAMA!H35</f>
        <v>3.2320000000000002</v>
      </c>
      <c r="I28" s="620">
        <f>+UTAMA!J35</f>
        <v>2.992</v>
      </c>
      <c r="J28" s="621">
        <f t="shared" si="0"/>
        <v>92.574257425742573</v>
      </c>
    </row>
    <row r="29" spans="2:10" ht="15.75" x14ac:dyDescent="0.2">
      <c r="B29" s="612">
        <f t="shared" si="1"/>
        <v>21</v>
      </c>
      <c r="C29" s="615" t="s">
        <v>54</v>
      </c>
      <c r="D29" s="616">
        <v>1531</v>
      </c>
      <c r="E29" s="677">
        <f>UTAMA!F36</f>
        <v>0.64100000000000001</v>
      </c>
      <c r="F29" s="618">
        <f>+UTAMA!G36</f>
        <v>325.3</v>
      </c>
      <c r="G29" s="622">
        <f>+UTAMA!I36</f>
        <v>324.16000000000003</v>
      </c>
      <c r="H29" s="620">
        <f>+UTAMA!H36</f>
        <v>0.622</v>
      </c>
      <c r="I29" s="623">
        <f>+UTAMA!J36</f>
        <v>0.51400000000000001</v>
      </c>
      <c r="J29" s="621">
        <f t="shared" si="0"/>
        <v>82.636655948553056</v>
      </c>
    </row>
    <row r="30" spans="2:10" ht="15.75" x14ac:dyDescent="0.2">
      <c r="B30" s="612">
        <f t="shared" si="1"/>
        <v>22</v>
      </c>
      <c r="C30" s="615" t="s">
        <v>55</v>
      </c>
      <c r="D30" s="616">
        <v>358</v>
      </c>
      <c r="E30" s="677">
        <f>UTAMA!F37</f>
        <v>0.71</v>
      </c>
      <c r="F30" s="618">
        <f>+UTAMA!G37</f>
        <v>129</v>
      </c>
      <c r="G30" s="622">
        <f>+UTAMA!I37</f>
        <v>129.02000000000001</v>
      </c>
      <c r="H30" s="620">
        <f>+UTAMA!H37</f>
        <v>0.68300000000000005</v>
      </c>
      <c r="I30" s="623">
        <f>+UTAMA!J37</f>
        <v>0.68300000000000005</v>
      </c>
      <c r="J30" s="621">
        <f t="shared" si="0"/>
        <v>100</v>
      </c>
    </row>
    <row r="31" spans="2:10" ht="15.75" x14ac:dyDescent="0.2">
      <c r="B31" s="612">
        <f t="shared" si="1"/>
        <v>23</v>
      </c>
      <c r="C31" s="615" t="s">
        <v>56</v>
      </c>
      <c r="D31" s="616">
        <v>2488</v>
      </c>
      <c r="E31" s="677">
        <f>UTAMA!F38</f>
        <v>0.48</v>
      </c>
      <c r="F31" s="618">
        <f>+UTAMA!G38</f>
        <v>282.7</v>
      </c>
      <c r="G31" s="619">
        <f>+UTAMA!I38</f>
        <v>282.82</v>
      </c>
      <c r="H31" s="620">
        <f>+UTAMA!H38</f>
        <v>0.45800000000000002</v>
      </c>
      <c r="I31" s="623">
        <f>+UTAMA!J38</f>
        <v>0.46800000000000003</v>
      </c>
      <c r="J31" s="621">
        <f t="shared" si="0"/>
        <v>102.18340611353712</v>
      </c>
    </row>
    <row r="32" spans="2:10" ht="15.75" x14ac:dyDescent="0.2">
      <c r="B32" s="612">
        <f t="shared" si="1"/>
        <v>24</v>
      </c>
      <c r="C32" s="615" t="s">
        <v>57</v>
      </c>
      <c r="D32" s="616">
        <v>426</v>
      </c>
      <c r="E32" s="677">
        <f>UTAMA!F39</f>
        <v>2.8849999999999998</v>
      </c>
      <c r="F32" s="618">
        <f>+UTAMA!G39</f>
        <v>98.43</v>
      </c>
      <c r="G32" s="622">
        <f>+UTAMA!I39</f>
        <v>98.84</v>
      </c>
      <c r="H32" s="620">
        <f>+UTAMA!H39</f>
        <v>2.472</v>
      </c>
      <c r="I32" s="623">
        <f>+UTAMA!J39</f>
        <v>2.7770000000000001</v>
      </c>
      <c r="J32" s="621">
        <f t="shared" si="0"/>
        <v>112.33818770226537</v>
      </c>
    </row>
    <row r="33" spans="2:13" ht="15.75" x14ac:dyDescent="0.2">
      <c r="B33" s="612">
        <f t="shared" si="1"/>
        <v>25</v>
      </c>
      <c r="C33" s="615" t="s">
        <v>58</v>
      </c>
      <c r="D33" s="616">
        <v>295</v>
      </c>
      <c r="E33" s="677">
        <f>UTAMA!F40</f>
        <v>7.9000000000000001E-2</v>
      </c>
      <c r="F33" s="618">
        <f>+UTAMA!G40</f>
        <v>189.5</v>
      </c>
      <c r="G33" s="622">
        <f>+UTAMA!I40</f>
        <v>189.61</v>
      </c>
      <c r="H33" s="620">
        <f>+UTAMA!H40</f>
        <v>7.5999999999999998E-2</v>
      </c>
      <c r="I33" s="623">
        <f>+UTAMA!J40</f>
        <v>7.8E-2</v>
      </c>
      <c r="J33" s="621">
        <f t="shared" si="0"/>
        <v>102.63157894736842</v>
      </c>
    </row>
    <row r="34" spans="2:13" ht="15.75" x14ac:dyDescent="0.2">
      <c r="B34" s="612">
        <f t="shared" si="1"/>
        <v>26</v>
      </c>
      <c r="C34" s="615" t="s">
        <v>59</v>
      </c>
      <c r="D34" s="616">
        <v>708</v>
      </c>
      <c r="E34" s="677">
        <f>UTAMA!F41</f>
        <v>9.6000000000000002E-2</v>
      </c>
      <c r="F34" s="618">
        <f>+UTAMA!G41</f>
        <v>171.2</v>
      </c>
      <c r="G34" s="622">
        <f>+UTAMA!I41</f>
        <v>170.34</v>
      </c>
      <c r="H34" s="620">
        <f>+UTAMA!H41</f>
        <v>9.7000000000000003E-2</v>
      </c>
      <c r="I34" s="623">
        <f>+UTAMA!J41</f>
        <v>7.5999999999999998E-2</v>
      </c>
      <c r="J34" s="621">
        <f t="shared" si="0"/>
        <v>78.350515463917532</v>
      </c>
    </row>
    <row r="35" spans="2:13" ht="15.75" x14ac:dyDescent="0.2">
      <c r="B35" s="612">
        <f t="shared" si="1"/>
        <v>27</v>
      </c>
      <c r="C35" s="615" t="s">
        <v>60</v>
      </c>
      <c r="D35" s="616">
        <v>1567</v>
      </c>
      <c r="E35" s="677">
        <f>UTAMA!F42</f>
        <v>9.8740000000000006</v>
      </c>
      <c r="F35" s="618">
        <f>+UTAMA!G42</f>
        <v>139.44999999999999</v>
      </c>
      <c r="G35" s="619">
        <f>+UTAMA!I42</f>
        <v>140.04</v>
      </c>
      <c r="H35" s="620">
        <f>+UTAMA!H42</f>
        <v>6.782</v>
      </c>
      <c r="I35" s="620">
        <f>+UTAMA!J42</f>
        <v>8.3780000000000001</v>
      </c>
      <c r="J35" s="621">
        <f t="shared" si="0"/>
        <v>123.53288115600118</v>
      </c>
    </row>
    <row r="36" spans="2:13" ht="15.75" x14ac:dyDescent="0.2">
      <c r="B36" s="612">
        <f t="shared" si="1"/>
        <v>28</v>
      </c>
      <c r="C36" s="615" t="s">
        <v>61</v>
      </c>
      <c r="D36" s="616">
        <v>1353</v>
      </c>
      <c r="E36" s="677">
        <f>UTAMA!F43</f>
        <v>2.6720000000000002</v>
      </c>
      <c r="F36" s="618">
        <f>+UTAMA!G43</f>
        <v>237.93</v>
      </c>
      <c r="G36" s="619">
        <f>+UTAMA!I43</f>
        <v>239.1</v>
      </c>
      <c r="H36" s="620">
        <f>+UTAMA!H43</f>
        <v>1.8240000000000001</v>
      </c>
      <c r="I36" s="620">
        <f>+UTAMA!J43</f>
        <v>2.468</v>
      </c>
      <c r="J36" s="621">
        <f t="shared" si="0"/>
        <v>135.30701754385964</v>
      </c>
    </row>
    <row r="37" spans="2:13" ht="15.75" x14ac:dyDescent="0.2">
      <c r="B37" s="612">
        <f t="shared" si="1"/>
        <v>29</v>
      </c>
      <c r="C37" s="615" t="s">
        <v>62</v>
      </c>
      <c r="D37" s="616">
        <v>53</v>
      </c>
      <c r="E37" s="677">
        <f>UTAMA!F44</f>
        <v>4.1539999999999999</v>
      </c>
      <c r="F37" s="618">
        <f>+UTAMA!G44</f>
        <v>120.25</v>
      </c>
      <c r="G37" s="619">
        <f>+UTAMA!I44</f>
        <v>120.58</v>
      </c>
      <c r="H37" s="620">
        <f>+UTAMA!H44</f>
        <v>3.2050000000000001</v>
      </c>
      <c r="I37" s="620">
        <f>+UTAMA!J44</f>
        <v>3.83</v>
      </c>
      <c r="J37" s="621">
        <f t="shared" si="0"/>
        <v>119.50078003120123</v>
      </c>
    </row>
    <row r="38" spans="2:13" ht="15.75" x14ac:dyDescent="0.2">
      <c r="B38" s="612">
        <f t="shared" si="1"/>
        <v>30</v>
      </c>
      <c r="C38" s="615" t="s">
        <v>63</v>
      </c>
      <c r="D38" s="616">
        <v>51</v>
      </c>
      <c r="E38" s="677">
        <f>UTAMA!F45</f>
        <v>2.75</v>
      </c>
      <c r="F38" s="618">
        <f>+UTAMA!G45</f>
        <v>110.36</v>
      </c>
      <c r="G38" s="619">
        <f>+UTAMA!I45</f>
        <v>110.53</v>
      </c>
      <c r="H38" s="620">
        <f>+UTAMA!H45</f>
        <v>2.371</v>
      </c>
      <c r="I38" s="620">
        <f>+UTAMA!J45</f>
        <v>2.6930000000000001</v>
      </c>
      <c r="J38" s="621">
        <f t="shared" si="0"/>
        <v>113.58076760860396</v>
      </c>
    </row>
    <row r="39" spans="2:13" ht="15.75" x14ac:dyDescent="0.2">
      <c r="B39" s="612">
        <f t="shared" si="1"/>
        <v>31</v>
      </c>
      <c r="C39" s="615" t="s">
        <v>213</v>
      </c>
      <c r="D39" s="616">
        <v>0</v>
      </c>
      <c r="E39" s="617">
        <f>UTAMA!F50</f>
        <v>0.47399999999999998</v>
      </c>
      <c r="F39" s="618">
        <f>+UTAMA!G50</f>
        <v>38.549999999999997</v>
      </c>
      <c r="G39" s="619">
        <f>+UTAMA!I50</f>
        <v>39.020000000000003</v>
      </c>
      <c r="H39" s="620">
        <f>+UTAMA!H50</f>
        <v>0.34</v>
      </c>
      <c r="I39" s="620">
        <f>UTAMA!J50</f>
        <v>0.47299999999999998</v>
      </c>
      <c r="J39" s="621">
        <f t="shared" si="0"/>
        <v>139.11764705882351</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59.360999999999997</v>
      </c>
      <c r="I41" s="630">
        <f>SUM(I9:I40)</f>
        <v>65.733000000000018</v>
      </c>
      <c r="J41" s="631">
        <f>+I41/H41*100%*100</f>
        <v>110.73432051346848</v>
      </c>
    </row>
    <row r="42" spans="2:13" ht="16.5" thickBot="1" x14ac:dyDescent="0.25">
      <c r="B42" s="632" t="s">
        <v>68</v>
      </c>
      <c r="C42" s="633" t="s">
        <v>69</v>
      </c>
      <c r="D42" s="633"/>
      <c r="E42" s="634"/>
      <c r="F42" s="635"/>
      <c r="G42" s="635"/>
      <c r="H42" s="636" t="s">
        <v>95</v>
      </c>
      <c r="I42" s="637">
        <f>+I41/H41*100%</f>
        <v>1.1073432051346848</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20</v>
      </c>
    </row>
    <row r="46" spans="2:13" ht="15" x14ac:dyDescent="0.2">
      <c r="B46" s="639"/>
      <c r="C46" s="641" t="s">
        <v>100</v>
      </c>
      <c r="D46" s="641"/>
      <c r="E46" s="642" t="s">
        <v>98</v>
      </c>
      <c r="F46" s="641" t="s">
        <v>101</v>
      </c>
      <c r="G46" s="641"/>
      <c r="H46" s="641"/>
      <c r="I46" s="643" t="s">
        <v>176</v>
      </c>
      <c r="J46" s="644">
        <f>COUNTIFS(J9:J40,"&gt;=85",J9:J40,"&lt;=100")</f>
        <v>5</v>
      </c>
    </row>
    <row r="47" spans="2:13" ht="15" x14ac:dyDescent="0.2">
      <c r="B47" s="639"/>
      <c r="C47" s="641" t="s">
        <v>102</v>
      </c>
      <c r="D47" s="641"/>
      <c r="E47" s="642" t="s">
        <v>98</v>
      </c>
      <c r="F47" s="641" t="s">
        <v>103</v>
      </c>
      <c r="G47" s="641"/>
      <c r="H47" s="641"/>
      <c r="I47" s="643" t="s">
        <v>176</v>
      </c>
      <c r="J47" s="255">
        <f>COUNTIFS(J9:J40,"&gt;0",J9:J40,"&lt;=85")</f>
        <v>6</v>
      </c>
    </row>
    <row r="48" spans="2:13" ht="15.75" thickBot="1" x14ac:dyDescent="0.25">
      <c r="B48" s="639"/>
      <c r="C48" s="645">
        <v>0</v>
      </c>
      <c r="D48" s="645"/>
      <c r="E48" s="642" t="s">
        <v>98</v>
      </c>
      <c r="F48" s="641" t="s">
        <v>127</v>
      </c>
      <c r="G48" s="641"/>
      <c r="H48" s="641"/>
      <c r="I48" s="643" t="s">
        <v>176</v>
      </c>
      <c r="J48" s="646">
        <f>COUNTIF(J9:J40,"0")</f>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9:J40">
    <cfRule type="cellIs" dxfId="7" priority="1" stopIfTrue="1" operator="equal">
      <formula>0</formula>
    </cfRule>
    <cfRule type="cellIs" dxfId="6" priority="2" stopIfTrue="1" operator="lessThan">
      <formula>84</formula>
    </cfRule>
    <cfRule type="cellIs" dxfId="5" priority="3" stopIfTrue="1" operator="between">
      <formula>85</formula>
      <formula>100</formula>
    </cfRule>
    <cfRule type="cellIs" dxfId="4" priority="6" stopIfTrue="1" operator="equal">
      <formula>0</formula>
    </cfRule>
    <cfRule type="cellIs" dxfId="3" priority="8" stopIfTrue="1" operator="greaterThan">
      <formula>100</formula>
    </cfRule>
    <cfRule type="cellIs" dxfId="2" priority="9" stopIfTrue="1" operator="between">
      <formula>85</formula>
      <formula>100</formula>
    </cfRule>
  </conditionalFormatting>
  <conditionalFormatting sqref="J29:J40">
    <cfRule type="cellIs" dxfId="1" priority="10" stopIfTrue="1" operator="greaterThan">
      <formula>100</formula>
    </cfRule>
    <cfRule type="cellIs" dxfId="0" priority="11"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AJ66"/>
  <sheetViews>
    <sheetView showGridLines="0" zoomScale="70" zoomScaleNormal="70" workbookViewId="0">
      <selection activeCell="B1" sqref="B1:Q55"/>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4" t="s">
        <v>335</v>
      </c>
      <c r="C1" s="895"/>
      <c r="D1" s="895"/>
      <c r="E1" s="895"/>
      <c r="F1" s="895"/>
      <c r="G1" s="895"/>
      <c r="H1" s="895"/>
      <c r="I1" s="895"/>
      <c r="J1" s="895"/>
      <c r="K1" s="895"/>
      <c r="L1" s="895"/>
      <c r="M1" s="895"/>
      <c r="N1" s="895"/>
      <c r="O1" s="895"/>
      <c r="P1" s="895"/>
      <c r="Q1" s="895"/>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896" t="s">
        <v>342</v>
      </c>
      <c r="C2" s="897"/>
      <c r="D2" s="897"/>
      <c r="E2" s="897"/>
      <c r="F2" s="897"/>
      <c r="G2" s="897"/>
      <c r="H2" s="897"/>
      <c r="I2" s="897"/>
      <c r="J2" s="897"/>
      <c r="K2" s="897"/>
      <c r="L2" s="897"/>
      <c r="M2" s="897"/>
      <c r="N2" s="897"/>
      <c r="O2" s="897"/>
      <c r="P2" s="897"/>
      <c r="Q2" s="897"/>
      <c r="R2" s="288"/>
      <c r="S2" s="328">
        <v>1</v>
      </c>
      <c r="T2" s="235" t="str">
        <f>IF('RINCI 1'!J9=0,"Kosong",IF('RINCI 1'!J9&lt;85,"Di Bawah Rencana",IF('RINCI 1'!J9&gt;100,"Di Atas Rencana","Sesuai Rencana")))</f>
        <v>Sesuai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Atas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Sempor</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Greneng</v>
      </c>
      <c r="AI5" s="285"/>
    </row>
    <row r="6" spans="2:35" x14ac:dyDescent="0.2">
      <c r="B6" s="288"/>
      <c r="R6" s="288"/>
      <c r="S6" s="328">
        <v>5</v>
      </c>
      <c r="T6" s="235" t="str">
        <f>IF('RINCI 1'!J13=0,"Kosong",IF('RINCI 1'!J13&lt;85,"Di Bawah Rencana",IF('RINCI 1'!J13&gt;100,"Di Atas Rencana","Sesuai Rencana")))</f>
        <v>Sesuai Rencana</v>
      </c>
      <c r="U6" s="235" t="s">
        <v>44</v>
      </c>
      <c r="AA6" s="328">
        <v>5</v>
      </c>
      <c r="AB6" s="235" t="str">
        <f>IF('RINCI 2'!J13=0,"Kosong",IF('RINCI 2'!J13&lt;85,"Di Bawah Rencana",IF('RINCI 2'!J13&gt;100,"Di Atas Rencana","Sesuai Rencana")))</f>
        <v>Di Bawah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Di Bawah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Malahayu</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Krisak</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Cacaban</v>
      </c>
      <c r="AA11" s="328">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Sesuai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Sesuai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Atas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Atas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Sesuai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Sesuai Rencana</v>
      </c>
      <c r="AC23" s="235" t="s">
        <v>55</v>
      </c>
      <c r="AI23" s="285"/>
    </row>
    <row r="24" spans="2:35" x14ac:dyDescent="0.2">
      <c r="B24" s="765">
        <f>B25+B26</f>
        <v>1</v>
      </c>
      <c r="C24" s="766" t="s">
        <v>275</v>
      </c>
      <c r="D24" s="766"/>
      <c r="E24" s="767"/>
      <c r="F24" s="768">
        <f>'RINCI 2'!J47+'RINCI 1'!J24</f>
        <v>8</v>
      </c>
      <c r="G24" s="766" t="s">
        <v>278</v>
      </c>
      <c r="H24" s="766"/>
      <c r="I24" s="767"/>
      <c r="J24" s="768">
        <f>'RINCI 2'!J46+'RINCI 1'!J23</f>
        <v>7</v>
      </c>
      <c r="K24" s="766" t="s">
        <v>279</v>
      </c>
      <c r="L24" s="767"/>
      <c r="M24" s="767"/>
      <c r="N24" s="768">
        <f>'RINCI 1'!J22+'RINCI 2'!J45</f>
        <v>25</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Atas Rencana</v>
      </c>
      <c r="AC24" s="235" t="s">
        <v>56</v>
      </c>
      <c r="AI24" s="285"/>
    </row>
    <row r="25" spans="2:35" x14ac:dyDescent="0.2">
      <c r="B25" s="765">
        <f>'RINCI 1'!J25</f>
        <v>0</v>
      </c>
      <c r="C25" s="766" t="s">
        <v>276</v>
      </c>
      <c r="D25" s="766"/>
      <c r="E25" s="767"/>
      <c r="F25" s="768">
        <f>'RINCI 1'!J24</f>
        <v>2</v>
      </c>
      <c r="G25" s="766" t="s">
        <v>276</v>
      </c>
      <c r="H25" s="766"/>
      <c r="I25" s="767"/>
      <c r="J25" s="768">
        <f>'RINCI 1'!J23</f>
        <v>2</v>
      </c>
      <c r="K25" s="766" t="s">
        <v>276</v>
      </c>
      <c r="L25" s="767"/>
      <c r="M25" s="767"/>
      <c r="N25" s="768">
        <f>'RINCI 1'!J22</f>
        <v>5</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6</v>
      </c>
      <c r="G26" s="766" t="s">
        <v>277</v>
      </c>
      <c r="H26" s="766"/>
      <c r="I26" s="767"/>
      <c r="J26" s="765">
        <f>'RINCI 2'!J46</f>
        <v>5</v>
      </c>
      <c r="K26" s="766" t="s">
        <v>277</v>
      </c>
      <c r="L26" s="767"/>
      <c r="M26" s="767"/>
      <c r="N26" s="768">
        <f>'RINCI 2'!J45</f>
        <v>20</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Di Atas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8" t="s">
        <v>171</v>
      </c>
      <c r="C29" s="899"/>
      <c r="D29" s="899"/>
      <c r="E29" s="899"/>
      <c r="F29" s="899" t="s">
        <v>172</v>
      </c>
      <c r="G29" s="899"/>
      <c r="H29" s="899"/>
      <c r="I29" s="899"/>
      <c r="J29" s="899" t="s">
        <v>173</v>
      </c>
      <c r="K29" s="899"/>
      <c r="L29" s="899"/>
      <c r="M29" s="899"/>
      <c r="N29" s="899" t="s">
        <v>192</v>
      </c>
      <c r="O29" s="899"/>
      <c r="P29" s="899"/>
      <c r="Q29" s="899"/>
      <c r="R29" s="288"/>
      <c r="AA29" s="328">
        <v>28</v>
      </c>
      <c r="AB29" s="235" t="str">
        <f>IF('RINCI 2'!J36=0,"Kosong",IF('RINCI 2'!J36&lt;85,"Di Bawah Rencana",IF('RINCI 2'!J36&gt;100,"Di Atas Rencana","Sesuai Rencana")))</f>
        <v>Di Atas Rencana</v>
      </c>
      <c r="AC29" s="235" t="s">
        <v>61</v>
      </c>
      <c r="AI29" s="285"/>
    </row>
    <row r="30" spans="2:35" x14ac:dyDescent="0.2">
      <c r="B30" s="898" t="s">
        <v>174</v>
      </c>
      <c r="C30" s="899"/>
      <c r="D30" s="899" t="s">
        <v>175</v>
      </c>
      <c r="E30" s="899"/>
      <c r="F30" s="899" t="s">
        <v>174</v>
      </c>
      <c r="G30" s="899"/>
      <c r="H30" s="899" t="s">
        <v>175</v>
      </c>
      <c r="I30" s="899"/>
      <c r="J30" s="899" t="s">
        <v>174</v>
      </c>
      <c r="K30" s="899"/>
      <c r="L30" s="899" t="s">
        <v>175</v>
      </c>
      <c r="M30" s="899"/>
      <c r="N30" s="899" t="s">
        <v>174</v>
      </c>
      <c r="O30" s="899"/>
      <c r="P30" s="899" t="s">
        <v>175</v>
      </c>
      <c r="Q30" s="899"/>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Sempor</v>
      </c>
      <c r="H31" s="235" t="str">
        <f t="array" ref="H31">IF(ISERROR(INDEX($AB$1:$AC$33,SMALL(IF($AB$1:$AB$33=$AF$4,ROW($AB$1:$AB$33)),ROW(1:1)),2)),"",INDEX($AB$1:$AC$33,SMALL(IF($AB$1:$AB$33=$AF$4,ROW($AB$1:$AB$33)),ROW(1:1)),2))</f>
        <v>Greneng</v>
      </c>
      <c r="J31" s="235" t="str">
        <f t="array" ref="J31">IF(ISERROR(INDEX($T$1:$U$10,SMALL(IF($T$1:$T$10=$X$7,ROW($T$1:$T$10)),ROW(1:1)),2)),"",INDEX($T$1:$U$10,SMALL(IF($T$1:$T$10=$X$7,ROW($T$1:$T$10)),ROW(1:1)),2))</f>
        <v>Malahayu</v>
      </c>
      <c r="L31" s="235" t="str">
        <f t="array" ref="L31">IF(ISERROR(INDEX($AB$1:$AC$33,SMALL(IF($AB$1:$AB$33=$AF$7,ROW($AB$1:$AB$33)),ROW(1:1)),2)),"",INDEX($AB$1:$AC$33,SMALL(IF($AB$1:$AB$33=$AF$7,ROW($AB$1:$AB$33)),ROW(1:1)),2))</f>
        <v>Krisak</v>
      </c>
      <c r="N31" s="235" t="str">
        <f t="array" ref="N31">IF(ISERROR(INDEX($T$1:$U$10,SMALL(IF($T$1:$T$10=$X$10,ROW($T$1:$T$10)),ROW(1:1)),2)),"",INDEX($T$1:$U$10,SMALL(IF($T$1:$T$10=$X$10,ROW($T$1:$T$10)),ROW(1:1)),2))</f>
        <v>Cacaban</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Wadaslintang</v>
      </c>
      <c r="H32" s="235" t="str">
        <f t="array" ref="H32">IF(ISERROR(INDEX($AB$1:$AC$33,SMALL(IF($AB$1:$AB$33=$AF$4,ROW($AB$1:$AB$33)),ROW(2:2)),2)),"",INDEX($AB$1:$AC$33,SMALL(IF($AB$1:$AB$33=$AF$4,ROW($AB$1:$AB$33)),ROW(2:2)),2))</f>
        <v>Simo</v>
      </c>
      <c r="J32" s="235" t="str">
        <f t="array" ref="J32">IF(ISERROR(INDEX($T$1:$U$10,SMALL(IF($T$1:$T$10=$X$7,ROW($T$1:$T$10)),ROW(2:2)),2)),"",INDEX($T$1:$U$10,SMALL(IF($T$1:$T$10=$X$7,ROW($T$1:$T$10)),ROW(2:2)),2))</f>
        <v>Wonogiri</v>
      </c>
      <c r="L32" s="235" t="str">
        <f t="array" ref="L32">IF(ISERROR(INDEX($AB$1:$AC$33,SMALL(IF($AB$1:$AB$33=$AF$7,ROW($AB$1:$AB$33)),ROW(2:2)),2)),"",INDEX($AB$1:$AC$33,SMALL(IF($AB$1:$AB$33=$AF$7,ROW($AB$1:$AB$33)),ROW(2:2)),2))</f>
        <v>Plumbon</v>
      </c>
      <c r="N32" s="235" t="str">
        <f t="array" ref="N32">IF(ISERROR(INDEX($T$1:$U$10,SMALL(IF($T$1:$T$10=$X$10,ROW($T$1:$T$10)),ROW(2:2)),2)),"",INDEX($T$1:$U$10,SMALL(IF($T$1:$T$10=$X$10,ROW($T$1:$T$10)),ROW(2:2)),2))</f>
        <v>Rawapening</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
      </c>
      <c r="H33" s="235" t="str">
        <f t="array" ref="H33">IF(ISERROR(INDEX($AB$1:$AC$33,SMALL(IF($AB$1:$AB$33=$AF$4,ROW($AB$1:$AB$33)),ROW(3:3)),2)),"",INDEX($AB$1:$AC$33,SMALL(IF($AB$1:$AB$33=$AF$4,ROW($AB$1:$AB$33)),ROW(3:3)),2))</f>
        <v>Butak</v>
      </c>
      <c r="J33" s="235" t="str">
        <f t="array" ref="J33">IF(ISERROR(INDEX($T$1:$U$10,SMALL(IF($T$1:$T$10=$X$7,ROW($T$1:$T$10)),ROW(3:3)),2)),"",INDEX($T$1:$U$10,SMALL(IF($T$1:$T$10=$X$7,ROW($T$1:$T$10)),ROW(3:3)),2))</f>
        <v/>
      </c>
      <c r="L33" s="235" t="str">
        <f t="array" ref="L33">IF(ISERROR(INDEX($AB$1:$AC$33,SMALL(IF($AB$1:$AB$33=$AF$7,ROW($AB$1:$AB$33)),ROW(3:3)),2)),"",INDEX($AB$1:$AC$33,SMALL(IF($AB$1:$AB$33=$AF$7,ROW($AB$1:$AB$33)),ROW(3:3)),2))</f>
        <v>Delingan</v>
      </c>
      <c r="N33" s="235" t="str">
        <f t="array" ref="N33">IF(ISERROR(INDEX($T$1:$U$10,SMALL(IF($T$1:$T$10=$X$10,ROW($T$1:$T$10)),ROW(3:3)),2)),"",INDEX($T$1:$U$10,SMALL(IF($T$1:$T$10=$X$10,ROW($T$1:$T$10)),ROW(3:3)),2))</f>
        <v>Kedungombo</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Lalung</v>
      </c>
      <c r="J34" s="235" t="str">
        <f t="array" ref="J34">IF(ISERROR(INDEX($T$1:$U$10,SMALL(IF($T$1:$T$10=$X$7,ROW($T$1:$T$10)),ROW(4:4)),2)),"",INDEX($T$1:$U$10,SMALL(IF($T$1:$T$10=$X$7,ROW($T$1:$T$10)),ROW(4:4)),2))</f>
        <v/>
      </c>
      <c r="L34" s="235" t="str">
        <f t="array" ref="L34">IF(ISERROR(INDEX($AB$1:$AC$33,SMALL(IF($AB$1:$AB$33=$AF$7,ROW($AB$1:$AB$33)),ROW(4:4)),2)),"",INDEX($AB$1:$AC$33,SMALL(IF($AB$1:$AB$33=$AF$7,ROW($AB$1:$AB$33)),ROW(4:4)),2))</f>
        <v>Kembangan</v>
      </c>
      <c r="N34" s="235" t="str">
        <f t="array" ref="N34">IF(ISERROR(INDEX($T$1:$U$10,SMALL(IF($T$1:$T$10=$X$10,ROW($T$1:$T$10)),ROW(4:4)),2)),"",INDEX($T$1:$U$10,SMALL(IF($T$1:$T$10=$X$10,ROW($T$1:$T$10)),ROW(4:4)),2))</f>
        <v>Sudirman</v>
      </c>
      <c r="P34" s="235" t="str">
        <f t="array" ref="P34">IF(ISERROR(INDEX($AB$1:$AC$33,SMALL(IF($AB$1:$AB$33=$AF$10,ROW($AB$1:$AB$33)),ROW(4:4)),2)),"",INDEX($AB$1:$AC$33,SMALL(IF($AB$1:$AB$33=$AF$10,ROW($AB$1:$AB$33)),ROW(4:4)),2))</f>
        <v>Tempuran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Gebyar</v>
      </c>
      <c r="J35" s="235" t="str">
        <f t="array" ref="J35">IF(ISERROR(INDEX($T$1:$U$10,SMALL(IF($T$1:$T$10=$X$7,ROW($T$1:$T$10)),ROW(5:5)),2)),"",INDEX($T$1:$U$10,SMALL(IF($T$1:$T$10=$X$7,ROW($T$1:$T$10)),ROW(5:5)),2))</f>
        <v/>
      </c>
      <c r="L35" s="235" t="str">
        <f t="array" ref="L35">IF(ISERROR(INDEX($AB$1:$AC$33,SMALL(IF($AB$1:$AB$33=$AF$7,ROW($AB$1:$AB$33)),ROW(5:5)),2)),"",INDEX($AB$1:$AC$33,SMALL(IF($AB$1:$AB$33=$AF$7,ROW($AB$1:$AB$33)),ROW(5:5)),2))</f>
        <v>Panohan</v>
      </c>
      <c r="N35" s="235" t="str">
        <f t="array" ref="N35">IF(ISERROR(INDEX($T$1:$U$10,SMALL(IF($T$1:$T$10=$X$10,ROW($T$1:$T$10)),ROW(5:5)),2)),"",INDEX($T$1:$U$10,SMALL(IF($T$1:$T$10=$X$10,ROW($T$1:$T$10)),ROW(5:5)),2))</f>
        <v>Jatibarang</v>
      </c>
      <c r="P35" s="235" t="str">
        <f t="array" ref="P35">IF(ISERROR(INDEX($AB$1:$AC$33,SMALL(IF($AB$1:$AB$33=$AF$10,ROW($AB$1:$AB$33)),ROW(5:5)),2)),"",INDEX($AB$1:$AC$33,SMALL(IF($AB$1:$AB$33=$AF$10,ROW($AB$1:$AB$33)),ROW(5:5)),2))</f>
        <v>Lodanwetan</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Brambang</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
      </c>
      <c r="P36" s="235" t="str">
        <f t="array" ref="P36">IF(ISERROR(INDEX($AB$1:$AC$33,SMALL(IF($AB$1:$AB$33=$AF$10,ROW($AB$1:$AB$33)),ROW(6:6)),2)),"",INDEX($AB$1:$AC$33,SMALL(IF($AB$1:$AB$33=$AF$10,ROW($AB$1:$AB$33)),ROW(6:6)),2))</f>
        <v>Banyukuwung</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Nglangon</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Sanggeh</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Songputri</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Parangjoho</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Nawangan</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Ngancar</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Botok</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Ketro</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Blimbing</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Cengklik</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Klego</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Jombor</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Mulur</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Grawan</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56"/>
  <sheetViews>
    <sheetView topLeftCell="B1" zoomScale="90" zoomScaleNormal="90" workbookViewId="0">
      <selection activeCell="R21" sqref="R21"/>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3"/>
      <c r="C37" s="852"/>
      <c r="D37" s="852"/>
      <c r="E37" s="852"/>
      <c r="F37" s="852"/>
      <c r="G37" s="852"/>
      <c r="H37" s="852"/>
      <c r="I37" s="852"/>
      <c r="J37" s="904"/>
    </row>
    <row r="38" spans="2:10" x14ac:dyDescent="0.2">
      <c r="B38" s="244"/>
      <c r="J38" s="245"/>
    </row>
    <row r="39" spans="2:10" ht="20.25" x14ac:dyDescent="0.3">
      <c r="B39" s="903" t="s">
        <v>343</v>
      </c>
      <c r="C39" s="852"/>
      <c r="D39" s="852"/>
      <c r="E39" s="852"/>
      <c r="F39" s="852"/>
      <c r="G39" s="852"/>
      <c r="H39" s="852"/>
      <c r="I39" s="852"/>
      <c r="J39" s="904"/>
    </row>
    <row r="40" spans="2:10" x14ac:dyDescent="0.2">
      <c r="B40" s="244"/>
      <c r="J40" s="245"/>
    </row>
    <row r="41" spans="2:10" x14ac:dyDescent="0.2">
      <c r="B41" s="244"/>
      <c r="J41" s="245"/>
    </row>
    <row r="42" spans="2:10" ht="15" customHeight="1" x14ac:dyDescent="0.2">
      <c r="B42" s="244"/>
      <c r="J42" s="245"/>
    </row>
    <row r="43" spans="2:10" ht="26.25" customHeight="1" x14ac:dyDescent="0.4">
      <c r="B43" s="900" t="s">
        <v>295</v>
      </c>
      <c r="C43" s="901"/>
      <c r="D43" s="901"/>
      <c r="E43" s="901"/>
      <c r="F43" s="901"/>
      <c r="G43" s="901"/>
      <c r="H43" s="901"/>
      <c r="I43" s="901"/>
      <c r="J43" s="902"/>
    </row>
    <row r="44" spans="2:10" ht="26.25" x14ac:dyDescent="0.4">
      <c r="B44" s="900" t="s">
        <v>296</v>
      </c>
      <c r="C44" s="901"/>
      <c r="D44" s="901"/>
      <c r="E44" s="901"/>
      <c r="F44" s="901"/>
      <c r="G44" s="901"/>
      <c r="H44" s="901"/>
      <c r="I44" s="901"/>
      <c r="J44" s="902"/>
    </row>
    <row r="45" spans="2:10" ht="26.25" x14ac:dyDescent="0.4">
      <c r="B45" s="900" t="s">
        <v>178</v>
      </c>
      <c r="C45" s="901"/>
      <c r="D45" s="901"/>
      <c r="E45" s="901"/>
      <c r="F45" s="901"/>
      <c r="G45" s="901"/>
      <c r="H45" s="901"/>
      <c r="I45" s="901"/>
      <c r="J45" s="902"/>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50"/>
  <sheetViews>
    <sheetView workbookViewId="0">
      <selection activeCell="J11" sqref="J1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6" t="s">
        <v>285</v>
      </c>
      <c r="C2" s="816"/>
      <c r="D2" s="816"/>
      <c r="E2" s="816"/>
      <c r="F2" s="816"/>
      <c r="G2" s="816"/>
      <c r="H2" s="816"/>
      <c r="I2" s="816"/>
      <c r="J2" s="816"/>
      <c r="K2" s="816"/>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5" t="s">
        <v>332</v>
      </c>
      <c r="C1" s="905"/>
      <c r="D1" s="905"/>
      <c r="E1" s="905"/>
      <c r="F1" s="905"/>
      <c r="G1" s="905"/>
      <c r="H1" s="905"/>
      <c r="I1" s="905"/>
      <c r="J1" s="905"/>
      <c r="K1" s="905"/>
      <c r="L1" s="905"/>
      <c r="M1" s="905"/>
      <c r="N1" s="905"/>
      <c r="O1" s="905"/>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47"/>
  <sheetViews>
    <sheetView topLeftCell="G1" workbookViewId="0">
      <selection activeCell="L5" sqref="L5:L11"/>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17" t="s">
        <v>286</v>
      </c>
      <c r="C2" s="817"/>
      <c r="D2" s="817"/>
      <c r="E2" s="817"/>
      <c r="F2" s="817"/>
      <c r="G2" s="817"/>
      <c r="H2" s="817"/>
      <c r="I2" s="817"/>
      <c r="J2" s="817"/>
      <c r="K2" s="817"/>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17" t="s">
        <v>287</v>
      </c>
      <c r="C2" s="817"/>
      <c r="D2" s="817"/>
      <c r="E2" s="817"/>
      <c r="F2" s="817"/>
      <c r="G2" s="817"/>
      <c r="H2" s="817"/>
      <c r="I2" s="817"/>
      <c r="J2" s="817"/>
      <c r="K2" s="817"/>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292</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17" t="s">
        <v>291</v>
      </c>
      <c r="C2" s="817"/>
      <c r="D2" s="817"/>
      <c r="E2" s="817"/>
      <c r="F2" s="817"/>
      <c r="G2" s="817"/>
      <c r="H2" s="817"/>
      <c r="I2" s="817"/>
      <c r="J2" s="817"/>
      <c r="K2" s="817"/>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17" t="s">
        <v>290</v>
      </c>
      <c r="C2" s="817"/>
      <c r="D2" s="817"/>
      <c r="E2" s="817"/>
      <c r="F2" s="817"/>
      <c r="G2" s="817"/>
      <c r="H2" s="817"/>
      <c r="I2" s="817"/>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289</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user</cp:lastModifiedBy>
  <cp:lastPrinted>2023-04-28T09:12:26Z</cp:lastPrinted>
  <dcterms:created xsi:type="dcterms:W3CDTF">2001-01-08T14:44:55Z</dcterms:created>
  <dcterms:modified xsi:type="dcterms:W3CDTF">2023-04-28T09:42:35Z</dcterms:modified>
</cp:coreProperties>
</file>