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2690" windowHeight="11760" firstSheet="10" activeTab="17"/>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562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5" i="11" l="1"/>
  <c r="L31"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l="1"/>
  <c r="J203"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R65" i="11"/>
  <c r="AS65" i="11" s="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Q67" i="11"/>
  <c r="AQ68" i="11"/>
  <c r="AQ69" i="11" s="1"/>
  <c r="AQ70" i="11" s="1"/>
  <c r="AQ71" i="11" s="1"/>
  <c r="AQ72" i="11" s="1"/>
  <c r="AQ73" i="11" s="1"/>
  <c r="AQ74" i="11" s="1"/>
  <c r="AS67" i="11"/>
  <c r="H155" i="11" l="1"/>
  <c r="AS66" i="11"/>
  <c r="E156" i="11"/>
  <c r="AN39" i="11"/>
  <c r="H305" i="11"/>
  <c r="AQ75" i="11"/>
  <c r="AQ76" i="11" s="1"/>
  <c r="AQ77" i="11" s="1"/>
  <c r="AQ78" i="11" s="1"/>
  <c r="AS74" i="11"/>
  <c r="AS75" i="11"/>
  <c r="AS73" i="11"/>
  <c r="AS71" i="11"/>
  <c r="AS69" i="11"/>
  <c r="H105" i="11"/>
  <c r="H255" i="11"/>
  <c r="AS76" i="11"/>
  <c r="AS72" i="11"/>
  <c r="AS70" i="11"/>
  <c r="AS68" i="11"/>
  <c r="J105" i="11"/>
  <c r="J16" i="12"/>
  <c r="T9" i="30" s="1"/>
  <c r="J40" i="13"/>
  <c r="AB33" i="30" s="1"/>
  <c r="J39" i="13"/>
  <c r="AB32" i="30" s="1"/>
  <c r="J27" i="13"/>
  <c r="AB20" i="30" s="1"/>
  <c r="AS77" i="1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P57" i="11" l="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<sst xmlns="http://schemas.openxmlformats.org/spreadsheetml/2006/main" count="1580" uniqueCount="344">
  <si>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</si>
  <si>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</si>
  <si>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</si>
  <si>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</si>
  <si>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</si>
  <si>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</si>
  <si>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</si>
  <si>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</si>
  <si>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</si>
  <si>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</si>
  <si>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</si>
  <si>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</si>
  <si>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</si>
  <si>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</si>
  <si>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</si>
  <si>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</si>
  <si>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</si>
  <si>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</si>
  <si>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</si>
  <si>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</si>
  <si>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</si>
  <si>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</si>
  <si>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</si>
  <si>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</si>
  <si>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</si>
  <si>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</si>
  <si>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</si>
  <si>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</si>
  <si>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</si>
  <si>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</si>
  <si>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</si>
  <si>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</si>
  <si>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</si>
  <si>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</si>
  <si>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</si>
  <si>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</si>
  <si>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</si>
  <si>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</si>
  <si>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</si>
  <si>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</si>
  <si>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</si>
  <si>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</si>
  <si>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</si>
  <si>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</si>
  <si>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</si>
  <si>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</si>
  <si>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</si>
  <si>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</si>
  <si>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</si>
  <si>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</si>
  <si>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</si>
  <si>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</si>
  <si>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</si>
  <si>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</si>
  <si>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</si>
  <si>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</si>
  <si>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</si>
  <si>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</si>
  <si>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</si>
  <si>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</si>
  <si>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</si>
  <si>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</si>
  <si>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</si>
  <si>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</si>
  <si>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</si>
  <si>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</si>
  <si>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</si>
  <si>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</si>
  <si>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</si>
  <si>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</si>
  <si>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</si>
  <si>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</si>
  <si>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</si>
  <si>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</si>
  <si>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</si>
  <si>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</si>
  <si>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</si>
  <si>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</si>
  <si>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</si>
  <si>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</si>
  <si>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</si>
  <si>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</si>
  <si>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</si>
  <si>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</si>
  <si>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</si>
  <si>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</si>
  <si>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</si>
  <si>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</si>
  <si>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</si>
  <si>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</si>
  <si>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</si>
  <si>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</si>
  <si>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</si>
  <si>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</si>
  <si>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</si>
  <si>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</si>
  <si>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</si>
  <si>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</si>
  <si>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</si>
  <si>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</si>
  <si>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</si>
  <si>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</si>
  <si>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</si>
  <si>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</si>
  <si>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</si>
  <si>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</si>
  <si>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</si>
  <si>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</si>
  <si>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</si>
  <si>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</si>
  <si>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</si>
  <si>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</si>
  <si>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</si>
  <si>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</si>
  <si>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</si>
  <si>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</si>
  <si>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</si>
  <si>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</si>
  <si>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</si>
  <si>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</si>
  <si>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</si>
  <si>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</si>
  <si>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</si>
  <si>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</si>
  <si>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</si>
  <si>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</si>
  <si>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</si>
  <si>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</si>
  <si>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</si>
  <si>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</si>
  <si>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</si>
  <si>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</si>
  <si>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</si>
  <si>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</si>
  <si>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</si>
  <si>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</si>
  <si>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</si>
  <si>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</si>
  <si>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</si>
  <si>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</si>
  <si>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</si>
  <si>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</si>
  <si>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</si>
  <si>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</si>
  <si>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</si>
  <si>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</si>
  <si>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</si>
  <si>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</si>
  <si>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</si>
  <si>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</si>
  <si>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</si>
  <si>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</si>
  <si>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</si>
  <si>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</si>
  <si>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</si>
  <si>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</si>
  <si>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</si>
  <si>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</si>
  <si>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</si>
  <si>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</si>
  <si>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</si>
  <si>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</si>
  <si>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</si>
  <si>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</si>
  <si>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</si>
  <si>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</si>
  <si>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</si>
  <si>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</si>
  <si>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</si>
  <si>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</si>
  <si>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</si>
  <si>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</si>
  <si>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</si>
  <si>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</si>
  <si>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</si>
  <si>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</si>
  <si>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</si>
  <si>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</si>
  <si>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</si>
  <si>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</si>
  <si>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</si>
  <si>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</si>
  <si>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</si>
  <si>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</si>
  <si>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</si>
  <si>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</si>
  <si>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</si>
  <si>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</si>
  <si>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</si>
  <si>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</si>
  <si>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</si>
  <si>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</si>
  <si>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</si>
  <si>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</si>
  <si>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</si>
  <si>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</si>
  <si>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</si>
  <si>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</si>
  <si>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</si>
  <si>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</si>
  <si>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</si>
  <si>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</si>
  <si>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</si>
  <si>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</si>
  <si>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</si>
  <si>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</si>
  <si>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</si>
  <si>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</si>
  <si>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</si>
  <si>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</si>
  <si>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</si>
  <si>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</si>
  <si>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</si>
  <si>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</si>
  <si>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</si>
  <si>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</si>
  <si>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</si>
  <si>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</si>
  <si>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</si>
  <si>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</si>
  <si>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</si>
  <si>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</si>
  <si>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</si>
  <si>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</si>
  <si>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</si>
  <si>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</si>
  <si>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</si>
  <si>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</si>
  <si>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</si>
  <si>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</si>
  <si>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</si>
  <si>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</si>
  <si>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</si>
  <si>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</si>
  <si>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</si>
  <si>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</si>
  <si>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</si>
  <si>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</si>
  <si>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</si>
  <si>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</si>
  <si>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</si>
  <si>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</si>
  <si>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</si>
  <si>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</si>
  <si>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</si>
  <si>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</si>
  <si>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</si>
  <si>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</si>
  <si>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</si>
  <si>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</si>
  <si>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</si>
  <si>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</si>
  <si>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</si>
  <si>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</si>
  <si>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</si>
  <si>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</si>
  <si>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</si>
  <si>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</si>
  <si>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</si>
  <si>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</si>
  <si>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</si>
  <si>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</si>
  <si>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</si>
  <si>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</si>
  <si>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</si>
  <si>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</si>
  <si>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</si>
  <si>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</si>
  <si>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</si>
  <si>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</si>
  <si>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</si>
  <si>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</si>
  <si>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</si>
  <si>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</si>
  <si>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</si>
  <si>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</si>
  <si>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</si>
  <si>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</si>
  <si>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</si>
  <si>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</si>
  <si>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</si>
  <si>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</si>
  <si>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</si>
  <si>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</si>
  <si>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</si>
  <si>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</si>
  <si>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</si>
  <si>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</si>
  <si>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</si>
  <si>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</si>
  <si>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</si>
  <si>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</si>
  <si>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</si>
  <si>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</si>
  <si>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</si>
  <si>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</si>
  <si>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</si>
  <si>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</si>
  <si>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</si>
  <si>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</si>
  <si>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</si>
  <si>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</si>
  <si>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</si>
  <si>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</si>
  <si>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</si>
  <si>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</si>
  <si>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</si>
  <si>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</si>
  <si>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</si>
  <si>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</si>
  <si>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</si>
  <si>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</si>
  <si>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</si>
  <si>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</si>
  <si>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</si>
  <si>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</si>
  <si>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</si>
  <si>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</si>
  <si>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</si>
  <si>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</si>
  <si>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</si>
  <si>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</si>
  <si>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</si>
  <si>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</si>
  <si>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</si>
  <si>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</si>
  <si>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</si>
  <si>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</si>
  <si>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</si>
  <si>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</si>
  <si>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</si>
  <si>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</si>
  <si>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</si>
  <si>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</si>
  <si>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</si>
  <si>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</si>
  <si>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</si>
  <si>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</si>
  <si>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 xml:space="preserve">MINGGU KE IV FEBRUARI ( 22 FEBRUARI S/D 28 FEBRUARI 2022 ) dalam Juta m3  </t>
  </si>
  <si>
    <t>MINGGU  :  IV FEBRUARI 2022</t>
  </si>
  <si>
    <t>MINGGU KE IV FEBRUARI 2022</t>
  </si>
  <si>
    <t>*) = KONDISI  SAMPAI DENGAN TANGGAL 28 FEBRUARI 2022</t>
  </si>
  <si>
    <t>70,,05</t>
  </si>
  <si>
    <t>Masih ada perbaikan dari BBWS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</si>
</sst>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s>
  <fonts count="89"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165" fontId="3" fillId="0" borderId="0" applyFont="0" applyFill="0" applyBorder="0" applyProtection="0"/>
    <xf numFmtId="164"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79" fontId="3" fillId="0" borderId="0" applyFont="0" applyFill="0" applyBorder="0" applyAlignment="0" applyProtection="0"/>
    <xf numFmtId="178" fontId="3" fillId="0" borderId="0" applyFont="0" applyFill="0" applyBorder="0" applyAlignment="0" applyProtection="0"/>
    <xf numFmtId="0" fontId="73" fillId="0" borderId="0" applyNumberFormat="0" applyFill="0" applyBorder="0" applyAlignment="0" applyProtection="0">
      <alignment vertical="top"/>
      <protection locked="0"/>
    </xf>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74" fillId="0" borderId="0" applyFont="0" applyFill="0" applyBorder="0" applyAlignment="0" applyProtection="0"/>
    <xf numFmtId="178" fontId="7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9" fillId="0" borderId="0" applyFont="0" applyFill="0" applyBorder="0" applyAlignment="0" applyProtection="0"/>
    <xf numFmtId="178" fontId="79"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82" fillId="0" borderId="0" applyFont="0" applyFill="0" applyBorder="0" applyAlignment="0" applyProtection="0"/>
    <xf numFmtId="178" fontId="8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cellStyleXfs>
  <cellXfs count="963">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165" fontId="6" fillId="0" borderId="12" xfId="28" applyFont="1" applyBorder="1"/>
    <xf numFmtId="165" fontId="6" fillId="0" borderId="13" xfId="28" applyFont="1" applyBorder="1"/>
    <xf numFmtId="166" fontId="6" fillId="0" borderId="13" xfId="0" applyNumberFormat="1" applyFont="1" applyBorder="1"/>
    <xf numFmtId="0" fontId="5" fillId="0" borderId="13" xfId="0" applyFont="1" applyBorder="1"/>
    <xf numFmtId="0" fontId="4" fillId="0" borderId="14" xfId="0" applyFont="1" applyBorder="1"/>
    <xf numFmtId="165" fontId="6" fillId="0" borderId="15" xfId="28" applyFont="1" applyBorder="1"/>
    <xf numFmtId="0" fontId="5" fillId="0" borderId="15" xfId="0" applyFont="1" applyBorder="1" applyAlignment="1">
      <alignment horizontal="center"/>
    </xf>
    <xf numFmtId="0" fontId="5" fillId="0" borderId="16" xfId="0" applyFont="1" applyBorder="1"/>
    <xf numFmtId="166"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6" fontId="5" fillId="0" borderId="20" xfId="28" applyNumberFormat="1" applyFont="1" applyBorder="1"/>
    <xf numFmtId="167"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165" fontId="4" fillId="0" borderId="22" xfId="28" quotePrefix="1" applyFont="1" applyBorder="1" applyAlignment="1"/>
    <xf numFmtId="165" fontId="4" fillId="0" borderId="23" xfId="28" quotePrefix="1" applyFont="1" applyBorder="1" applyAlignment="1"/>
    <xf numFmtId="166" fontId="6" fillId="0" borderId="13" xfId="28" applyNumberFormat="1" applyFont="1" applyBorder="1"/>
    <xf numFmtId="165" fontId="6" fillId="0" borderId="13" xfId="0" applyNumberFormat="1" applyFont="1" applyBorder="1"/>
    <xf numFmtId="0" fontId="4" fillId="0" borderId="24" xfId="0" applyFont="1" applyBorder="1" applyAlignment="1">
      <alignment horizontal="center"/>
    </xf>
    <xf numFmtId="165" fontId="6" fillId="23" borderId="12" xfId="28" applyFont="1" applyFill="1" applyBorder="1"/>
    <xf numFmtId="170" fontId="6" fillId="23" borderId="12" xfId="28" applyNumberFormat="1" applyFont="1" applyFill="1" applyBorder="1" applyAlignment="1">
      <alignment horizontal="right"/>
    </xf>
    <xf numFmtId="169" fontId="6" fillId="23" borderId="12" xfId="28" applyNumberFormat="1" applyFont="1" applyFill="1" applyBorder="1" applyAlignment="1">
      <alignment horizontal="right"/>
    </xf>
    <xf numFmtId="166" fontId="6" fillId="23" borderId="12" xfId="28" applyNumberFormat="1" applyFont="1" applyFill="1" applyBorder="1"/>
    <xf numFmtId="167" fontId="10" fillId="0" borderId="25" xfId="28" applyNumberFormat="1" applyFont="1" applyBorder="1"/>
    <xf numFmtId="167" fontId="10" fillId="0" borderId="21" xfId="0" applyNumberFormat="1" applyFont="1" applyBorder="1"/>
    <xf numFmtId="168" fontId="4" fillId="0" borderId="26" xfId="28" applyNumberFormat="1" applyFont="1" applyBorder="1" applyAlignment="1">
      <alignment horizontal="center"/>
    </xf>
    <xf numFmtId="165" fontId="4" fillId="0" borderId="27" xfId="28" quotePrefix="1" applyFont="1" applyBorder="1" applyAlignment="1">
      <alignment vertical="center"/>
    </xf>
    <xf numFmtId="165" fontId="4" fillId="0" borderId="28" xfId="28" quotePrefix="1" applyFont="1" applyBorder="1" applyAlignment="1">
      <alignment vertical="center"/>
    </xf>
    <xf numFmtId="165" fontId="4" fillId="0" borderId="22" xfId="28" quotePrefix="1" applyFont="1" applyBorder="1" applyAlignment="1">
      <alignment vertical="center"/>
    </xf>
    <xf numFmtId="165" fontId="4" fillId="0" borderId="29" xfId="28" quotePrefix="1" applyFont="1" applyBorder="1" applyAlignment="1">
      <alignment vertical="center"/>
    </xf>
    <xf numFmtId="165"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6" fontId="6" fillId="0" borderId="12" xfId="28" applyNumberFormat="1" applyFont="1" applyBorder="1"/>
    <xf numFmtId="170" fontId="6" fillId="23" borderId="13" xfId="28" applyNumberFormat="1" applyFont="1" applyFill="1" applyBorder="1" applyAlignment="1">
      <alignment horizontal="right"/>
    </xf>
    <xf numFmtId="169" fontId="6" fillId="23" borderId="13" xfId="28" applyNumberFormat="1" applyFont="1" applyFill="1" applyBorder="1" applyAlignment="1">
      <alignment horizontal="right"/>
    </xf>
    <xf numFmtId="165" fontId="6" fillId="23" borderId="13" xfId="28" applyFont="1" applyFill="1" applyBorder="1"/>
    <xf numFmtId="166" fontId="6" fillId="23" borderId="13" xfId="28" applyNumberFormat="1" applyFont="1" applyFill="1" applyBorder="1"/>
    <xf numFmtId="165"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165" fontId="6" fillId="0" borderId="31" xfId="28" applyFont="1" applyBorder="1"/>
    <xf numFmtId="165" fontId="6" fillId="0" borderId="31" xfId="0" applyNumberFormat="1" applyFont="1" applyBorder="1"/>
    <xf numFmtId="166" fontId="6" fillId="0" borderId="31" xfId="28" applyNumberFormat="1" applyFont="1" applyBorder="1"/>
    <xf numFmtId="166" fontId="6" fillId="0" borderId="39" xfId="0" applyNumberFormat="1" applyFont="1" applyBorder="1"/>
    <xf numFmtId="167" fontId="10" fillId="0" borderId="40" xfId="28" applyNumberFormat="1" applyFont="1" applyBorder="1"/>
    <xf numFmtId="165" fontId="5" fillId="0" borderId="26" xfId="0" applyNumberFormat="1" applyFont="1" applyBorder="1" applyAlignment="1"/>
    <xf numFmtId="166" fontId="6" fillId="0" borderId="41" xfId="0" applyNumberFormat="1" applyFont="1" applyBorder="1"/>
    <xf numFmtId="165" fontId="6" fillId="0" borderId="12" xfId="0" applyNumberFormat="1" applyFont="1" applyBorder="1"/>
    <xf numFmtId="166" fontId="6" fillId="0" borderId="42" xfId="0" applyNumberFormat="1" applyFont="1" applyBorder="1"/>
    <xf numFmtId="167" fontId="10" fillId="0" borderId="43" xfId="28" applyNumberFormat="1" applyFont="1" applyBorder="1"/>
    <xf numFmtId="165" fontId="4" fillId="0" borderId="27" xfId="28" quotePrefix="1" applyFont="1" applyBorder="1" applyAlignment="1"/>
    <xf numFmtId="0" fontId="44" fillId="0" borderId="0" xfId="0" applyFont="1"/>
    <xf numFmtId="0" fontId="45" fillId="0" borderId="0" xfId="0" applyFont="1"/>
    <xf numFmtId="168" fontId="46" fillId="0" borderId="44" xfId="28" applyNumberFormat="1" applyFont="1" applyFill="1" applyBorder="1" applyAlignment="1" applyProtection="1">
      <alignment horizontal="center" vertical="center"/>
    </xf>
    <xf numFmtId="167" fontId="47" fillId="0" borderId="45" xfId="28" quotePrefix="1" applyNumberFormat="1" applyFont="1" applyFill="1" applyBorder="1" applyAlignment="1" applyProtection="1">
      <alignment horizontal="center" vertical="center"/>
    </xf>
    <xf numFmtId="168" fontId="46" fillId="0" borderId="46" xfId="28" applyNumberFormat="1" applyFont="1" applyFill="1" applyBorder="1" applyAlignment="1" applyProtection="1">
      <alignment horizontal="center"/>
    </xf>
    <xf numFmtId="166" fontId="46" fillId="0" borderId="47" xfId="28" applyNumberFormat="1" applyFont="1" applyFill="1" applyBorder="1" applyProtection="1"/>
    <xf numFmtId="166" fontId="46" fillId="0" borderId="48" xfId="28" applyNumberFormat="1" applyFont="1" applyFill="1" applyBorder="1" applyProtection="1"/>
    <xf numFmtId="168" fontId="46" fillId="0" borderId="49" xfId="28" applyNumberFormat="1" applyFont="1" applyFill="1" applyBorder="1" applyAlignment="1" applyProtection="1">
      <alignment horizontal="center"/>
    </xf>
    <xf numFmtId="166" fontId="46" fillId="0" borderId="50" xfId="28" applyNumberFormat="1" applyFont="1" applyFill="1" applyBorder="1"/>
    <xf numFmtId="166" fontId="46" fillId="0" borderId="50" xfId="28" applyNumberFormat="1" applyFont="1" applyFill="1" applyBorder="1" applyProtection="1"/>
    <xf numFmtId="166" fontId="46" fillId="0" borderId="51" xfId="28" applyNumberFormat="1" applyFont="1" applyFill="1" applyBorder="1" applyProtection="1"/>
    <xf numFmtId="173"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165" fontId="46" fillId="0" borderId="11" xfId="28" applyFont="1" applyBorder="1"/>
    <xf numFmtId="166" fontId="46" fillId="0" borderId="11" xfId="0" applyNumberFormat="1" applyFont="1" applyBorder="1"/>
    <xf numFmtId="165" fontId="46" fillId="0" borderId="11" xfId="28" applyFont="1" applyBorder="1" applyAlignment="1">
      <alignment horizontal="center"/>
    </xf>
    <xf numFmtId="166" fontId="46" fillId="0" borderId="11" xfId="28" applyNumberFormat="1" applyFont="1" applyBorder="1"/>
    <xf numFmtId="164" fontId="46" fillId="0" borderId="11" xfId="29" applyNumberFormat="1" applyFont="1" applyBorder="1"/>
    <xf numFmtId="164" fontId="46" fillId="0" borderId="0" xfId="29" applyNumberFormat="1" applyFont="1" applyBorder="1"/>
    <xf numFmtId="165" fontId="46" fillId="0" borderId="12" xfId="28" applyFont="1" applyBorder="1"/>
    <xf numFmtId="166" fontId="46" fillId="0" borderId="12" xfId="0" applyNumberFormat="1" applyFont="1" applyBorder="1"/>
    <xf numFmtId="165" fontId="46" fillId="0" borderId="12" xfId="28" applyFont="1" applyBorder="1" applyAlignment="1">
      <alignment horizontal="right"/>
    </xf>
    <xf numFmtId="164" fontId="46" fillId="0" borderId="12" xfId="29" applyNumberFormat="1" applyFont="1" applyBorder="1"/>
    <xf numFmtId="170" fontId="46" fillId="0" borderId="12" xfId="28" applyNumberFormat="1" applyFont="1" applyBorder="1" applyAlignment="1">
      <alignment horizontal="right"/>
    </xf>
    <xf numFmtId="164" fontId="46" fillId="0" borderId="12" xfId="29" applyFont="1" applyBorder="1"/>
    <xf numFmtId="164" fontId="46" fillId="0" borderId="0" xfId="29" applyFont="1" applyBorder="1"/>
    <xf numFmtId="164" fontId="46" fillId="0" borderId="12" xfId="29" quotePrefix="1" applyFont="1" applyBorder="1" applyAlignment="1">
      <alignment horizontal="center"/>
    </xf>
    <xf numFmtId="165" fontId="46" fillId="0" borderId="12" xfId="28" applyFont="1" applyBorder="1" applyAlignment="1">
      <alignment horizontal="center"/>
    </xf>
    <xf numFmtId="164" fontId="46" fillId="0" borderId="12" xfId="29" applyFont="1" applyBorder="1" applyAlignment="1">
      <alignment horizontal="center"/>
    </xf>
    <xf numFmtId="164" fontId="46" fillId="0" borderId="0" xfId="29" quotePrefix="1" applyFont="1" applyBorder="1" applyAlignment="1">
      <alignment horizontal="center"/>
    </xf>
    <xf numFmtId="164" fontId="46" fillId="0" borderId="0" xfId="29" applyFont="1" applyBorder="1" applyAlignment="1">
      <alignment horizontal="center"/>
    </xf>
    <xf numFmtId="170" fontId="46" fillId="0" borderId="12" xfId="28" quotePrefix="1" applyNumberFormat="1" applyFont="1" applyBorder="1" applyAlignment="1">
      <alignment horizontal="right"/>
    </xf>
    <xf numFmtId="164" fontId="46" fillId="0" borderId="13" xfId="29" applyFont="1" applyBorder="1"/>
    <xf numFmtId="165" fontId="46" fillId="0" borderId="15" xfId="28" applyFont="1" applyBorder="1"/>
    <xf numFmtId="166" fontId="44" fillId="0" borderId="0" xfId="0" applyNumberFormat="1" applyFont="1"/>
    <xf numFmtId="165"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164"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6" fontId="46" fillId="0" borderId="15" xfId="0" applyNumberFormat="1" applyFont="1" applyBorder="1"/>
    <xf numFmtId="167"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6" fontId="46" fillId="0" borderId="0" xfId="0" applyNumberFormat="1" applyFont="1"/>
    <xf numFmtId="166" fontId="46" fillId="0" borderId="0" xfId="0" applyNumberFormat="1" applyFont="1" applyAlignment="1">
      <alignment horizontal="right"/>
    </xf>
    <xf numFmtId="166" fontId="46" fillId="0" borderId="0" xfId="28" applyNumberFormat="1" applyFont="1" applyBorder="1"/>
    <xf numFmtId="168" fontId="46" fillId="0" borderId="0" xfId="28" applyNumberFormat="1" applyFont="1" applyBorder="1" applyAlignment="1" applyProtection="1">
      <alignment horizontal="center"/>
    </xf>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6" fillId="0" borderId="60" xfId="28" applyNumberFormat="1" applyFont="1" applyFill="1" applyBorder="1" applyProtection="1"/>
    <xf numFmtId="166" fontId="46" fillId="0" borderId="61" xfId="28" applyNumberFormat="1" applyFont="1" applyFill="1" applyBorder="1" applyProtection="1"/>
    <xf numFmtId="168" fontId="46" fillId="0" borderId="0" xfId="28" applyNumberFormat="1" applyFont="1" applyFill="1" applyBorder="1" applyAlignment="1" applyProtection="1">
      <alignment horizontal="center"/>
    </xf>
    <xf numFmtId="166" fontId="46" fillId="0" borderId="0" xfId="28" applyNumberFormat="1" applyFont="1" applyFill="1" applyBorder="1"/>
    <xf numFmtId="168" fontId="46" fillId="0" borderId="44" xfId="28" applyNumberFormat="1" applyFont="1" applyFill="1" applyBorder="1" applyAlignment="1" applyProtection="1">
      <alignment horizontal="center"/>
    </xf>
    <xf numFmtId="167" fontId="46" fillId="0" borderId="45" xfId="28" quotePrefix="1" applyNumberFormat="1" applyFont="1" applyFill="1" applyBorder="1" applyAlignment="1" applyProtection="1">
      <alignment horizontal="center"/>
    </xf>
    <xf numFmtId="167" fontId="46" fillId="0" borderId="59" xfId="28" quotePrefix="1" applyNumberFormat="1" applyFont="1" applyFill="1" applyBorder="1" applyAlignment="1" applyProtection="1">
      <alignment horizontal="center"/>
    </xf>
    <xf numFmtId="166" fontId="46" fillId="0" borderId="47" xfId="28" applyNumberFormat="1" applyFont="1" applyFill="1" applyBorder="1"/>
    <xf numFmtId="167" fontId="47" fillId="0" borderId="52" xfId="28" quotePrefix="1" applyNumberFormat="1" applyFont="1" applyFill="1" applyBorder="1" applyAlignment="1" applyProtection="1">
      <alignment horizontal="center"/>
    </xf>
    <xf numFmtId="166" fontId="46" fillId="0" borderId="0" xfId="28" applyNumberFormat="1" applyFont="1" applyBorder="1" applyProtection="1"/>
    <xf numFmtId="166" fontId="46" fillId="0" borderId="0" xfId="28" applyNumberFormat="1" applyFont="1" applyBorder="1" applyAlignment="1" applyProtection="1">
      <alignment horizontal="left"/>
    </xf>
    <xf numFmtId="167" fontId="46" fillId="0" borderId="0" xfId="28" quotePrefix="1" applyNumberFormat="1" applyFont="1" applyBorder="1" applyAlignment="1" applyProtection="1">
      <alignment horizontal="center"/>
    </xf>
    <xf numFmtId="168" fontId="46" fillId="0" borderId="62" xfId="28" applyNumberFormat="1" applyFont="1" applyFill="1" applyBorder="1" applyAlignment="1" applyProtection="1">
      <alignment horizontal="center" vertical="center"/>
    </xf>
    <xf numFmtId="167" fontId="46" fillId="0" borderId="19" xfId="28" quotePrefix="1" applyNumberFormat="1" applyFont="1" applyFill="1" applyBorder="1" applyAlignment="1" applyProtection="1">
      <alignment horizontal="center" vertical="center"/>
    </xf>
    <xf numFmtId="167" fontId="46" fillId="0" borderId="0" xfId="28" quotePrefix="1" applyNumberFormat="1" applyFont="1" applyFill="1" applyBorder="1" applyAlignment="1" applyProtection="1">
      <alignment horizontal="center"/>
    </xf>
    <xf numFmtId="166" fontId="46" fillId="0" borderId="0" xfId="28" applyNumberFormat="1" applyFont="1" applyFill="1" applyBorder="1" applyProtection="1"/>
    <xf numFmtId="166" fontId="46" fillId="0" borderId="0" xfId="28" applyNumberFormat="1" applyFont="1" applyFill="1" applyBorder="1" applyAlignment="1" applyProtection="1">
      <alignment horizontal="left"/>
    </xf>
    <xf numFmtId="167" fontId="46" fillId="0" borderId="45" xfId="28" quotePrefix="1" applyNumberFormat="1" applyFont="1" applyFill="1" applyBorder="1" applyAlignment="1" applyProtection="1">
      <alignment horizontal="center" vertical="center"/>
    </xf>
    <xf numFmtId="167" fontId="46" fillId="0" borderId="52" xfId="28" quotePrefix="1" applyNumberFormat="1" applyFont="1" applyFill="1" applyBorder="1" applyAlignment="1" applyProtection="1">
      <alignment horizontal="center" vertical="center"/>
    </xf>
    <xf numFmtId="166" fontId="46" fillId="0" borderId="47" xfId="28" applyNumberFormat="1" applyFont="1" applyFill="1" applyBorder="1" applyAlignment="1" applyProtection="1">
      <alignment horizontal="center"/>
    </xf>
    <xf numFmtId="166" fontId="46" fillId="0" borderId="48" xfId="28" applyNumberFormat="1" applyFont="1" applyFill="1" applyBorder="1" applyAlignment="1" applyProtection="1">
      <alignment horizontal="center"/>
    </xf>
    <xf numFmtId="166" fontId="46" fillId="0" borderId="50" xfId="28" applyNumberFormat="1" applyFont="1" applyFill="1" applyBorder="1" applyAlignment="1" applyProtection="1">
      <alignment horizontal="center"/>
    </xf>
    <xf numFmtId="166"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165" fontId="49" fillId="0" borderId="12" xfId="28" quotePrefix="1" applyNumberFormat="1" applyFont="1" applyBorder="1" applyAlignment="1">
      <alignment horizontal="center" vertical="center"/>
    </xf>
    <xf numFmtId="165" fontId="49" fillId="0" borderId="64" xfId="28" quotePrefix="1" applyFont="1" applyBorder="1"/>
    <xf numFmtId="167"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165" fontId="44" fillId="0" borderId="73" xfId="0" applyNumberFormat="1" applyFont="1" applyFill="1" applyBorder="1" applyAlignment="1">
      <alignment horizontal="center" vertical="center"/>
    </xf>
    <xf numFmtId="165" fontId="44" fillId="0" borderId="74" xfId="0" applyNumberFormat="1" applyFont="1" applyFill="1" applyBorder="1" applyAlignment="1">
      <alignment horizontal="center" vertical="center"/>
    </xf>
    <xf numFmtId="165" fontId="44" fillId="0" borderId="75" xfId="0" applyNumberFormat="1" applyFont="1" applyFill="1" applyBorder="1" applyAlignment="1">
      <alignment horizontal="center" vertical="center"/>
    </xf>
    <xf numFmtId="165" fontId="44" fillId="0" borderId="76" xfId="0" applyNumberFormat="1" applyFont="1" applyFill="1" applyBorder="1" applyAlignment="1">
      <alignment horizontal="center" vertical="center"/>
    </xf>
    <xf numFmtId="165" fontId="44" fillId="0" borderId="77" xfId="0" applyNumberFormat="1" applyFont="1" applyFill="1" applyBorder="1" applyAlignment="1">
      <alignment horizontal="center" vertical="center"/>
    </xf>
    <xf numFmtId="165" fontId="44" fillId="0" borderId="78" xfId="0" applyNumberFormat="1" applyFont="1" applyFill="1" applyBorder="1" applyAlignment="1">
      <alignment horizontal="center" vertical="center"/>
    </xf>
    <xf numFmtId="165" fontId="44" fillId="0" borderId="79" xfId="0" applyNumberFormat="1" applyFont="1" applyFill="1" applyBorder="1" applyAlignment="1">
      <alignment horizontal="center" vertical="center"/>
    </xf>
    <xf numFmtId="167"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2" fontId="46" fillId="0" borderId="0" xfId="40" applyNumberFormat="1" applyFont="1" applyFill="1" applyBorder="1" applyAlignment="1" applyProtection="1">
      <alignment horizontal="center" vertical="center"/>
    </xf>
    <xf numFmtId="171" fontId="46" fillId="0" borderId="0" xfId="40" applyNumberFormat="1" applyFont="1" applyFill="1" applyBorder="1" applyAlignment="1" applyProtection="1">
      <alignment horizontal="center"/>
    </xf>
    <xf numFmtId="171" fontId="56" fillId="0" borderId="0" xfId="40" applyNumberFormat="1" applyFont="1" applyFill="1" applyBorder="1" applyAlignment="1" applyProtection="1">
      <alignment horizontal="center"/>
    </xf>
    <xf numFmtId="171"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2" fontId="47" fillId="0" borderId="45" xfId="40" applyNumberFormat="1" applyFont="1" applyFill="1" applyBorder="1" applyAlignment="1" applyProtection="1">
      <alignment horizontal="center"/>
    </xf>
    <xf numFmtId="172"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6" fontId="46" fillId="0" borderId="12" xfId="40" applyNumberFormat="1" applyFont="1" applyFill="1" applyBorder="1" applyAlignment="1" applyProtection="1">
      <alignment horizontal="center"/>
    </xf>
    <xf numFmtId="166"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6" fontId="46" fillId="0" borderId="82" xfId="40" applyNumberFormat="1" applyFont="1" applyFill="1" applyBorder="1" applyAlignment="1" applyProtection="1">
      <alignment horizontal="center"/>
    </xf>
    <xf numFmtId="166" fontId="46" fillId="0" borderId="83" xfId="40" applyNumberFormat="1" applyFont="1" applyFill="1" applyBorder="1" applyAlignment="1" applyProtection="1">
      <alignment horizontal="center"/>
    </xf>
    <xf numFmtId="0" fontId="61" fillId="0" borderId="0" xfId="40" applyFont="1"/>
    <xf numFmtId="172" fontId="47" fillId="0" borderId="0" xfId="40" applyNumberFormat="1" applyFont="1" applyBorder="1" applyAlignment="1" applyProtection="1">
      <alignment horizontal="center" vertical="center"/>
    </xf>
    <xf numFmtId="171" fontId="46" fillId="0" borderId="0" xfId="40" applyNumberFormat="1" applyFont="1" applyBorder="1" applyAlignment="1" applyProtection="1">
      <alignment horizontal="center"/>
    </xf>
    <xf numFmtId="171" fontId="56" fillId="23" borderId="0" xfId="40" applyNumberFormat="1" applyFont="1" applyFill="1" applyBorder="1" applyAlignment="1" applyProtection="1">
      <alignment horizontal="center"/>
    </xf>
    <xf numFmtId="171"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2" fontId="44" fillId="0" borderId="0" xfId="40" applyNumberFormat="1" applyFont="1" applyBorder="1" applyAlignment="1" applyProtection="1">
      <alignment horizontal="center"/>
    </xf>
    <xf numFmtId="171" fontId="46" fillId="0" borderId="80" xfId="40" applyNumberFormat="1" applyFont="1" applyFill="1" applyBorder="1" applyAlignment="1" applyProtection="1">
      <alignment horizontal="center"/>
    </xf>
    <xf numFmtId="171"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71"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2" fontId="44" fillId="0" borderId="0" xfId="40" applyNumberFormat="1" applyFont="1" applyFill="1" applyBorder="1" applyAlignment="1" applyProtection="1">
      <alignment horizontal="center"/>
    </xf>
    <xf numFmtId="171"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6" fontId="54" fillId="0" borderId="0" xfId="28" applyNumberFormat="1" applyFont="1" applyFill="1" applyBorder="1" applyAlignment="1">
      <alignment horizontal="center" vertical="center"/>
    </xf>
    <xf numFmtId="166" fontId="54" fillId="0" borderId="0" xfId="28" quotePrefix="1" applyNumberFormat="1" applyFont="1" applyFill="1" applyBorder="1" applyAlignment="1">
      <alignment horizontal="center" vertical="center"/>
    </xf>
    <xf numFmtId="165" fontId="46" fillId="29" borderId="33" xfId="28" applyFont="1" applyFill="1" applyBorder="1" applyAlignment="1">
      <alignment horizontal="center" vertical="center"/>
    </xf>
    <xf numFmtId="165"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165" fontId="46" fillId="33" borderId="11" xfId="28" applyNumberFormat="1" applyFont="1" applyFill="1" applyBorder="1" applyAlignment="1">
      <alignment horizontal="center" vertical="center"/>
    </xf>
    <xf numFmtId="165" fontId="46" fillId="33" borderId="12" xfId="28" applyNumberFormat="1" applyFont="1" applyFill="1" applyBorder="1" applyAlignment="1">
      <alignment horizontal="center" vertical="center"/>
    </xf>
    <xf numFmtId="165"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6"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5"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165"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165"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6" fontId="44" fillId="33" borderId="0" xfId="0" applyNumberFormat="1" applyFont="1" applyFill="1" applyBorder="1" applyAlignment="1">
      <alignment horizontal="center" vertical="center"/>
    </xf>
    <xf numFmtId="169"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6" fontId="46" fillId="33" borderId="105" xfId="0" quotePrefix="1" applyNumberFormat="1" applyFont="1" applyFill="1" applyBorder="1" applyAlignment="1">
      <alignment horizontal="center" vertical="center"/>
    </xf>
    <xf numFmtId="166"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6"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165" fontId="46" fillId="33" borderId="33" xfId="28" applyFont="1" applyFill="1" applyBorder="1" applyAlignment="1">
      <alignment vertical="center"/>
    </xf>
    <xf numFmtId="9" fontId="46" fillId="33" borderId="15" xfId="43" applyFont="1" applyFill="1" applyBorder="1" applyAlignment="1">
      <alignment vertical="center"/>
    </xf>
    <xf numFmtId="165"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2" fontId="47" fillId="0" borderId="45" xfId="40" applyNumberFormat="1" applyFont="1" applyFill="1" applyBorder="1" applyAlignment="1" applyProtection="1">
      <alignment horizontal="center"/>
    </xf>
    <xf numFmtId="172"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6" fontId="46" fillId="0" borderId="12" xfId="40" applyNumberFormat="1" applyFont="1" applyFill="1" applyBorder="1" applyAlignment="1" applyProtection="1">
      <alignment horizontal="center"/>
    </xf>
    <xf numFmtId="166"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165"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4" fontId="51" fillId="33" borderId="21" xfId="0" applyNumberFormat="1" applyFont="1" applyFill="1" applyBorder="1" applyAlignment="1">
      <alignment horizontal="center" vertical="center"/>
    </xf>
    <xf numFmtId="174"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165"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165"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6" fillId="33" borderId="64" xfId="0" applyNumberFormat="1" applyFont="1" applyFill="1" applyBorder="1" applyAlignment="1">
      <alignment horizontal="center" vertical="center"/>
    </xf>
    <xf numFmtId="174"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165" fontId="54" fillId="0" borderId="0" xfId="0" applyNumberFormat="1" applyFont="1" applyFill="1" applyBorder="1" applyAlignment="1">
      <alignment horizontal="center" vertical="center"/>
    </xf>
    <xf numFmtId="165" fontId="41" fillId="0" borderId="0" xfId="28" applyNumberFormat="1" applyFont="1" applyAlignment="1">
      <alignment horizontal="left"/>
    </xf>
    <xf numFmtId="165" fontId="41" fillId="0" borderId="0" xfId="28" applyFont="1" applyAlignment="1">
      <alignment horizontal="left"/>
    </xf>
    <xf numFmtId="174"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6" fontId="46" fillId="33" borderId="64" xfId="0" applyNumberFormat="1" applyFont="1" applyFill="1" applyBorder="1" applyAlignment="1">
      <alignment horizontal="left" vertical="center" indent="1"/>
    </xf>
    <xf numFmtId="166" fontId="46" fillId="33" borderId="65" xfId="0" applyNumberFormat="1" applyFont="1" applyFill="1" applyBorder="1" applyAlignment="1">
      <alignment horizontal="left" vertical="center" indent="1"/>
    </xf>
    <xf numFmtId="2" fontId="44" fillId="0" borderId="0" xfId="0" applyNumberFormat="1" applyFont="1"/>
    <xf numFmtId="166" fontId="46" fillId="33" borderId="64" xfId="0" quotePrefix="1" applyNumberFormat="1" applyFont="1" applyFill="1" applyBorder="1" applyAlignment="1">
      <alignment horizontal="center" vertical="center"/>
    </xf>
    <xf numFmtId="0" fontId="3" fillId="0" borderId="26" xfId="40" applyBorder="1"/>
    <xf numFmtId="165" fontId="54" fillId="33" borderId="0" xfId="0" applyNumberFormat="1" applyFont="1" applyFill="1" applyBorder="1" applyAlignment="1">
      <alignment horizontal="center" vertical="center" shrinkToFit="1"/>
    </xf>
    <xf numFmtId="165" fontId="46" fillId="33" borderId="0" xfId="28" applyNumberFormat="1" applyFont="1" applyFill="1" applyBorder="1" applyAlignment="1">
      <alignment horizontal="center" vertical="center"/>
    </xf>
    <xf numFmtId="165"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70"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165" fontId="54" fillId="33" borderId="0" xfId="28" applyNumberFormat="1" applyFont="1" applyFill="1" applyBorder="1" applyAlignment="1">
      <alignment horizontal="center" vertical="center"/>
    </xf>
    <xf numFmtId="165" fontId="54" fillId="33" borderId="0" xfId="28" quotePrefix="1" applyNumberFormat="1" applyFont="1" applyFill="1" applyBorder="1" applyAlignment="1">
      <alignment horizontal="center" vertical="center"/>
    </xf>
    <xf numFmtId="165"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2"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165" fontId="69" fillId="33" borderId="12" xfId="28" applyNumberFormat="1" applyFont="1" applyFill="1" applyBorder="1" applyAlignment="1">
      <alignment horizontal="center" vertical="center"/>
    </xf>
    <xf numFmtId="165" fontId="69" fillId="33" borderId="19" xfId="28" applyNumberFormat="1" applyFont="1" applyFill="1" applyBorder="1"/>
    <xf numFmtId="174" fontId="69" fillId="33" borderId="19" xfId="0" applyNumberFormat="1" applyFont="1" applyFill="1" applyBorder="1" applyAlignment="1">
      <alignment horizontal="center" vertical="center"/>
    </xf>
    <xf numFmtId="167" fontId="49" fillId="0" borderId="120" xfId="0" applyNumberFormat="1" applyFont="1" applyBorder="1" applyAlignment="1"/>
    <xf numFmtId="167"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2" fontId="46" fillId="0" borderId="45" xfId="40" applyNumberFormat="1" applyFont="1" applyFill="1" applyBorder="1" applyAlignment="1" applyProtection="1">
      <alignment horizontal="center" vertical="center"/>
    </xf>
    <xf numFmtId="172"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165" fontId="46" fillId="33" borderId="99" xfId="28" applyNumberFormat="1" applyFont="1" applyFill="1" applyBorder="1" applyAlignment="1">
      <alignment horizontal="center" vertical="center"/>
    </xf>
    <xf numFmtId="165" fontId="46" fillId="33" borderId="19" xfId="40" applyNumberFormat="1" applyFont="1" applyFill="1" applyBorder="1" applyAlignment="1" applyProtection="1">
      <alignment vertical="center"/>
    </xf>
    <xf numFmtId="165"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2" fontId="46" fillId="26" borderId="19" xfId="40" applyNumberFormat="1" applyFont="1" applyFill="1" applyBorder="1" applyAlignment="1" applyProtection="1">
      <alignment horizontal="center" vertical="center"/>
    </xf>
    <xf numFmtId="165" fontId="46" fillId="26" borderId="19" xfId="40" applyNumberFormat="1" applyFont="1" applyFill="1" applyBorder="1" applyAlignment="1" applyProtection="1">
      <alignment vertical="center"/>
    </xf>
    <xf numFmtId="172" fontId="46" fillId="38" borderId="19" xfId="40" applyNumberFormat="1" applyFont="1" applyFill="1" applyBorder="1" applyAlignment="1" applyProtection="1">
      <alignment horizontal="center" vertical="center"/>
    </xf>
    <xf numFmtId="165" fontId="46" fillId="38" borderId="19" xfId="40" applyNumberFormat="1" applyFont="1" applyFill="1" applyBorder="1" applyAlignment="1" applyProtection="1">
      <alignment vertical="center"/>
    </xf>
    <xf numFmtId="165" fontId="46" fillId="29" borderId="19" xfId="40" applyNumberFormat="1" applyFont="1" applyFill="1" applyBorder="1" applyAlignment="1" applyProtection="1">
      <alignment vertical="center"/>
    </xf>
    <xf numFmtId="167" fontId="46" fillId="0" borderId="123" xfId="28" quotePrefix="1" applyNumberFormat="1" applyFont="1" applyFill="1" applyBorder="1" applyAlignment="1" applyProtection="1">
      <alignment horizontal="center"/>
    </xf>
    <xf numFmtId="166" fontId="46" fillId="0" borderId="22" xfId="28" quotePrefix="1" applyNumberFormat="1" applyFont="1" applyFill="1" applyBorder="1" applyAlignment="1" applyProtection="1">
      <alignment horizontal="center"/>
    </xf>
    <xf numFmtId="166" fontId="46" fillId="0" borderId="124" xfId="28" quotePrefix="1" applyNumberFormat="1" applyFont="1" applyFill="1" applyBorder="1" applyAlignment="1" applyProtection="1">
      <alignment horizontal="center"/>
    </xf>
    <xf numFmtId="167" fontId="47" fillId="0" borderId="123" xfId="28" quotePrefix="1" applyNumberFormat="1" applyFont="1" applyFill="1" applyBorder="1" applyAlignment="1" applyProtection="1">
      <alignment horizontal="center"/>
    </xf>
    <xf numFmtId="172" fontId="46" fillId="0" borderId="125" xfId="40" applyNumberFormat="1" applyFont="1" applyFill="1" applyBorder="1" applyAlignment="1" applyProtection="1">
      <alignment horizontal="center" vertical="center"/>
    </xf>
    <xf numFmtId="171" fontId="46" fillId="0" borderId="22" xfId="28" applyNumberFormat="1" applyFont="1" applyFill="1" applyBorder="1" applyAlignment="1" applyProtection="1">
      <alignment horizontal="center" vertical="center"/>
    </xf>
    <xf numFmtId="171"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7" fontId="47" fillId="0" borderId="59" xfId="28" quotePrefix="1" applyNumberFormat="1" applyFont="1" applyFill="1" applyBorder="1" applyAlignment="1" applyProtection="1">
      <alignment horizontal="center" vertical="center"/>
    </xf>
    <xf numFmtId="167"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6" fontId="46" fillId="33" borderId="20" xfId="0" applyNumberFormat="1" applyFont="1" applyFill="1" applyBorder="1" applyAlignment="1">
      <alignment horizontal="center" vertical="center"/>
    </xf>
    <xf numFmtId="166"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165" fontId="70" fillId="33" borderId="0" xfId="0" applyNumberFormat="1" applyFont="1" applyFill="1" applyBorder="1" applyAlignment="1">
      <alignment horizontal="center" vertical="center"/>
    </xf>
    <xf numFmtId="165" fontId="46" fillId="0" borderId="0" xfId="28" applyNumberFormat="1" applyFont="1" applyFill="1" applyBorder="1" applyAlignment="1">
      <alignment horizontal="center" vertical="center"/>
    </xf>
    <xf numFmtId="165"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165" fontId="54" fillId="0" borderId="0" xfId="28" applyNumberFormat="1" applyFont="1" applyFill="1" applyBorder="1" applyAlignment="1">
      <alignment horizontal="center" vertical="center"/>
    </xf>
    <xf numFmtId="165"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165" fontId="69" fillId="33" borderId="0" xfId="28" applyNumberFormat="1" applyFont="1" applyFill="1" applyBorder="1" applyAlignment="1">
      <alignment horizontal="center" vertical="center"/>
    </xf>
    <xf numFmtId="165"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71" fontId="69" fillId="33" borderId="0" xfId="0" applyNumberFormat="1" applyFont="1" applyFill="1" applyBorder="1" applyAlignment="1">
      <alignment vertical="center"/>
    </xf>
    <xf numFmtId="165" fontId="70" fillId="33" borderId="0" xfId="28" applyNumberFormat="1" applyFont="1" applyFill="1" applyBorder="1" applyAlignment="1">
      <alignment vertical="center"/>
    </xf>
    <xf numFmtId="165" fontId="70" fillId="33" borderId="0" xfId="28" applyNumberFormat="1" applyFont="1" applyFill="1" applyBorder="1" applyAlignment="1">
      <alignment horizontal="center" vertical="center"/>
    </xf>
    <xf numFmtId="165"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71" fontId="70" fillId="33" borderId="0" xfId="0" applyNumberFormat="1" applyFont="1" applyFill="1" applyBorder="1" applyAlignment="1">
      <alignment horizontal="right" vertical="center"/>
    </xf>
    <xf numFmtId="171"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165"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6" fontId="46" fillId="33" borderId="105" xfId="0" applyNumberFormat="1" applyFont="1" applyFill="1" applyBorder="1" applyAlignment="1">
      <alignment horizontal="left" vertical="center" indent="1"/>
    </xf>
    <xf numFmtId="166"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165"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6" fontId="46" fillId="33" borderId="65" xfId="0" applyNumberFormat="1" applyFont="1" applyFill="1" applyBorder="1" applyAlignment="1">
      <alignment horizontal="center" vertical="center"/>
    </xf>
    <xf numFmtId="166"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165"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165" fontId="47" fillId="33" borderId="11" xfId="28" applyNumberFormat="1" applyFont="1" applyFill="1" applyBorder="1" applyAlignment="1">
      <alignment horizontal="center" vertical="center"/>
    </xf>
    <xf numFmtId="166" fontId="47" fillId="33" borderId="103" xfId="0" applyNumberFormat="1" applyFont="1" applyFill="1" applyBorder="1" applyAlignment="1">
      <alignment horizontal="left" vertical="center" indent="1"/>
    </xf>
    <xf numFmtId="166"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165" fontId="47" fillId="33" borderId="12" xfId="28" applyNumberFormat="1" applyFont="1" applyFill="1" applyBorder="1" applyAlignment="1">
      <alignment horizontal="center" vertical="center"/>
    </xf>
    <xf numFmtId="165" fontId="47" fillId="33" borderId="12" xfId="0" applyNumberFormat="1" applyFont="1" applyFill="1" applyBorder="1" applyAlignment="1">
      <alignment horizontal="center" vertical="center"/>
    </xf>
    <xf numFmtId="165" fontId="47" fillId="33" borderId="12" xfId="28" applyNumberFormat="1" applyFont="1" applyFill="1" applyBorder="1" applyAlignment="1">
      <alignment vertical="center"/>
    </xf>
    <xf numFmtId="176" fontId="47" fillId="0" borderId="12" xfId="47" applyNumberFormat="1" applyFont="1" applyBorder="1" applyAlignment="1">
      <alignment vertical="center"/>
    </xf>
    <xf numFmtId="166" fontId="47" fillId="0" borderId="12" xfId="49" applyNumberFormat="1" applyFont="1" applyBorder="1" applyAlignment="1">
      <alignment vertical="center"/>
    </xf>
    <xf numFmtId="177"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6"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165" fontId="47" fillId="33" borderId="12" xfId="28" quotePrefix="1" applyNumberFormat="1" applyFont="1" applyFill="1" applyBorder="1" applyAlignment="1">
      <alignment horizontal="center" vertical="center"/>
    </xf>
    <xf numFmtId="165" fontId="47" fillId="33" borderId="11" xfId="28" applyNumberFormat="1" applyFont="1" applyFill="1" applyBorder="1" applyAlignment="1">
      <alignment vertical="center"/>
    </xf>
    <xf numFmtId="165" fontId="47" fillId="33" borderId="11" xfId="28" quotePrefix="1" applyNumberFormat="1" applyFont="1" applyFill="1" applyBorder="1" applyAlignment="1">
      <alignment horizontal="center" vertical="center"/>
    </xf>
    <xf numFmtId="165" fontId="47" fillId="33" borderId="12" xfId="28" quotePrefix="1" applyNumberFormat="1" applyFont="1" applyFill="1" applyBorder="1" applyAlignment="1">
      <alignment vertical="center"/>
    </xf>
    <xf numFmtId="165"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6" fontId="47" fillId="33" borderId="93" xfId="0" applyNumberFormat="1" applyFont="1" applyFill="1" applyBorder="1" applyAlignment="1">
      <alignment horizontal="center" vertical="center"/>
    </xf>
    <xf numFmtId="166"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165" fontId="47" fillId="33" borderId="33" xfId="28"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6" fontId="46" fillId="0" borderId="29" xfId="28" quotePrefix="1" applyNumberFormat="1" applyFont="1" applyFill="1" applyBorder="1" applyAlignment="1" applyProtection="1">
      <alignment horizontal="center"/>
    </xf>
    <xf numFmtId="167"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7" fontId="49" fillId="0" borderId="12" xfId="28" applyNumberFormat="1" applyFont="1" applyBorder="1" applyAlignment="1">
      <alignment vertical="center"/>
    </xf>
    <xf numFmtId="165" fontId="49" fillId="0" borderId="12" xfId="28" applyNumberFormat="1" applyFont="1" applyBorder="1" applyAlignment="1">
      <alignment vertical="center"/>
    </xf>
    <xf numFmtId="165" fontId="49" fillId="0" borderId="12" xfId="28" applyFont="1" applyBorder="1" applyAlignment="1">
      <alignment horizontal="center" vertical="center"/>
    </xf>
    <xf numFmtId="166" fontId="49" fillId="0" borderId="12" xfId="28" applyNumberFormat="1" applyFont="1" applyBorder="1" applyAlignment="1">
      <alignment horizontal="center" vertical="center"/>
    </xf>
    <xf numFmtId="165" fontId="49" fillId="0" borderId="12" xfId="28" applyFont="1" applyBorder="1" applyAlignment="1">
      <alignment vertical="center"/>
    </xf>
    <xf numFmtId="165" fontId="49" fillId="0" borderId="12" xfId="0" applyNumberFormat="1" applyFont="1" applyBorder="1" applyAlignment="1">
      <alignment vertical="center"/>
    </xf>
    <xf numFmtId="166" fontId="49" fillId="0" borderId="12" xfId="28" applyNumberFormat="1" applyFont="1" applyBorder="1" applyAlignment="1">
      <alignment vertical="center"/>
    </xf>
    <xf numFmtId="166"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7" fontId="49" fillId="0" borderId="13" xfId="28" applyNumberFormat="1" applyFont="1" applyBorder="1" applyAlignment="1">
      <alignment vertical="center"/>
    </xf>
    <xf numFmtId="165" fontId="49" fillId="33" borderId="13" xfId="28" applyNumberFormat="1" applyFont="1" applyFill="1" applyBorder="1" applyAlignment="1">
      <alignment vertical="center"/>
    </xf>
    <xf numFmtId="165" fontId="49" fillId="33" borderId="13" xfId="28" applyFont="1" applyFill="1" applyBorder="1" applyAlignment="1">
      <alignment vertical="center"/>
    </xf>
    <xf numFmtId="166" fontId="49" fillId="0" borderId="13" xfId="28" applyNumberFormat="1" applyFont="1" applyBorder="1" applyAlignment="1">
      <alignment vertical="center"/>
    </xf>
    <xf numFmtId="165"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165" fontId="49" fillId="0" borderId="15" xfId="0" applyNumberFormat="1" applyFont="1" applyBorder="1" applyAlignment="1">
      <alignment horizontal="center" vertical="center"/>
    </xf>
    <xf numFmtId="165" fontId="49" fillId="0" borderId="15" xfId="28" applyFont="1" applyBorder="1" applyAlignment="1">
      <alignment vertical="center"/>
    </xf>
    <xf numFmtId="166" fontId="49" fillId="0" borderId="15" xfId="28" applyNumberFormat="1" applyFont="1" applyBorder="1" applyAlignment="1">
      <alignment vertical="center"/>
    </xf>
    <xf numFmtId="167"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7" fontId="46" fillId="0" borderId="12" xfId="28" applyNumberFormat="1" applyFont="1" applyFill="1" applyBorder="1" applyAlignment="1">
      <alignment vertical="center"/>
    </xf>
    <xf numFmtId="166" fontId="46" fillId="0" borderId="12" xfId="28" applyNumberFormat="1" applyFont="1" applyFill="1" applyBorder="1" applyAlignment="1">
      <alignment vertical="center"/>
    </xf>
    <xf numFmtId="165" fontId="46" fillId="0" borderId="12" xfId="28" applyFont="1" applyFill="1" applyBorder="1" applyAlignment="1">
      <alignment horizontal="right" vertical="center"/>
    </xf>
    <xf numFmtId="165" fontId="46" fillId="0" borderId="12" xfId="28" applyFont="1" applyFill="1" applyBorder="1" applyAlignment="1">
      <alignment vertical="center"/>
    </xf>
    <xf numFmtId="166" fontId="46" fillId="0" borderId="12" xfId="0" applyNumberFormat="1" applyFont="1" applyFill="1" applyBorder="1" applyAlignment="1">
      <alignment vertical="center"/>
    </xf>
    <xf numFmtId="167" fontId="46" fillId="0" borderId="64" xfId="0" applyNumberFormat="1" applyFont="1" applyFill="1" applyBorder="1" applyAlignment="1">
      <alignment horizontal="center" vertical="center"/>
    </xf>
    <xf numFmtId="165" fontId="46" fillId="0" borderId="12" xfId="28" applyFont="1" applyFill="1" applyBorder="1" applyAlignment="1">
      <alignment horizontal="center" vertical="center"/>
    </xf>
    <xf numFmtId="166" fontId="46" fillId="0" borderId="12" xfId="0" applyNumberFormat="1" applyFont="1" applyFill="1" applyBorder="1" applyAlignment="1">
      <alignment horizontal="center" vertical="center"/>
    </xf>
    <xf numFmtId="167" fontId="46" fillId="29" borderId="64" xfId="0" applyNumberFormat="1" applyFont="1" applyFill="1" applyBorder="1" applyAlignment="1">
      <alignment horizontal="center" vertical="center"/>
    </xf>
    <xf numFmtId="167"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7" fontId="46" fillId="0" borderId="13" xfId="28" applyNumberFormat="1" applyFont="1" applyFill="1" applyBorder="1" applyAlignment="1">
      <alignment vertical="center"/>
    </xf>
    <xf numFmtId="166" fontId="46" fillId="33" borderId="13" xfId="28" applyNumberFormat="1" applyFont="1" applyFill="1" applyBorder="1" applyAlignment="1">
      <alignment vertical="center"/>
    </xf>
    <xf numFmtId="165" fontId="46" fillId="0" borderId="13" xfId="28" applyFont="1" applyFill="1" applyBorder="1" applyAlignment="1">
      <alignment vertical="center"/>
    </xf>
    <xf numFmtId="166" fontId="46" fillId="0" borderId="13" xfId="0" applyNumberFormat="1" applyFont="1" applyFill="1" applyBorder="1" applyAlignment="1">
      <alignment vertical="center"/>
    </xf>
    <xf numFmtId="166" fontId="46" fillId="0" borderId="13" xfId="0" applyNumberFormat="1" applyFont="1" applyFill="1" applyBorder="1" applyAlignment="1">
      <alignment horizontal="center" vertical="center"/>
    </xf>
    <xf numFmtId="165"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6"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7"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165"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71" fontId="51" fillId="0" borderId="0" xfId="0" applyNumberFormat="1" applyFont="1" applyFill="1" applyAlignment="1">
      <alignment horizontal="center" vertical="center"/>
    </xf>
    <xf numFmtId="165" fontId="51" fillId="33" borderId="0" xfId="0" applyNumberFormat="1" applyFont="1" applyFill="1" applyAlignment="1">
      <alignment horizontal="center" vertical="center"/>
    </xf>
    <xf numFmtId="171" fontId="51" fillId="33" borderId="0" xfId="0" applyNumberFormat="1" applyFont="1" applyFill="1" applyAlignment="1">
      <alignment horizontal="center" vertical="center"/>
    </xf>
    <xf numFmtId="165"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165"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6" fontId="46" fillId="33" borderId="12" xfId="28" applyNumberFormat="1" applyFont="1" applyFill="1" applyBorder="1" applyAlignment="1">
      <alignment vertical="center"/>
    </xf>
    <xf numFmtId="165" fontId="49" fillId="33" borderId="12" xfId="28" applyNumberFormat="1" applyFont="1" applyFill="1" applyBorder="1" applyAlignment="1">
      <alignment vertical="center"/>
    </xf>
    <xf numFmtId="165" fontId="49" fillId="0" borderId="12" xfId="28" applyNumberFormat="1" applyFont="1" applyBorder="1" applyAlignment="1">
      <alignment horizontal="center" vertical="center"/>
    </xf>
    <xf numFmtId="176" fontId="54" fillId="33" borderId="0" xfId="0" applyNumberFormat="1" applyFont="1" applyFill="1" applyBorder="1" applyAlignment="1">
      <alignment horizontal="center" vertical="center"/>
    </xf>
    <xf numFmtId="165"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applyAlignment="1"/>
    <xf numFmtId="2" fontId="72" fillId="33" borderId="42" xfId="0" applyNumberFormat="1" applyFont="1" applyFill="1" applyBorder="1" applyAlignment="1"/>
    <xf numFmtId="165" fontId="46" fillId="33" borderId="12" xfId="28" quotePrefix="1" applyNumberFormat="1" applyFont="1" applyFill="1" applyBorder="1" applyAlignment="1">
      <alignment vertical="center"/>
    </xf>
    <xf numFmtId="165" fontId="46" fillId="33" borderId="11" xfId="28" quotePrefix="1" applyNumberFormat="1" applyFont="1" applyFill="1" applyBorder="1" applyAlignment="1">
      <alignment vertical="center"/>
    </xf>
    <xf numFmtId="165" fontId="69" fillId="33" borderId="12" xfId="28" applyNumberFormat="1" applyFont="1" applyFill="1" applyBorder="1" applyAlignment="1">
      <alignment vertical="center"/>
    </xf>
    <xf numFmtId="2" fontId="71" fillId="33" borderId="12" xfId="0" applyNumberFormat="1" applyFont="1" applyFill="1" applyBorder="1" applyAlignment="1"/>
    <xf numFmtId="165" fontId="46" fillId="33" borderId="16" xfId="28" applyNumberFormat="1" applyFont="1" applyFill="1" applyBorder="1" applyAlignment="1">
      <alignment vertical="center"/>
    </xf>
    <xf numFmtId="166"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165"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80" fontId="46" fillId="33" borderId="16" xfId="0" applyNumberFormat="1" applyFont="1" applyFill="1" applyBorder="1" applyAlignment="1">
      <alignment horizontal="right" vertical="center"/>
    </xf>
    <xf numFmtId="165"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71" fontId="51" fillId="33" borderId="12" xfId="0" applyNumberFormat="1" applyFont="1" applyFill="1" applyBorder="1" applyAlignment="1">
      <alignment horizontal="center"/>
    </xf>
    <xf numFmtId="165" fontId="54" fillId="33" borderId="12" xfId="28" applyNumberFormat="1" applyFont="1" applyFill="1" applyBorder="1" applyAlignment="1">
      <alignment vertical="center"/>
    </xf>
    <xf numFmtId="165" fontId="54" fillId="33" borderId="12" xfId="28" quotePrefix="1" applyNumberFormat="1" applyFont="1" applyFill="1" applyBorder="1" applyAlignment="1">
      <alignment vertical="center"/>
    </xf>
    <xf numFmtId="165" fontId="54" fillId="33" borderId="11" xfId="28" quotePrefix="1" applyNumberFormat="1" applyFont="1" applyFill="1" applyBorder="1" applyAlignment="1">
      <alignment vertical="center"/>
    </xf>
    <xf numFmtId="165" fontId="54" fillId="33" borderId="12" xfId="0" applyNumberFormat="1" applyFont="1" applyFill="1" applyBorder="1" applyAlignment="1">
      <alignment vertical="center"/>
    </xf>
    <xf numFmtId="166"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71" fontId="6" fillId="33" borderId="12" xfId="0" applyNumberFormat="1" applyFont="1" applyFill="1" applyBorder="1" applyAlignment="1">
      <alignment horizontal="center" vertical="center"/>
    </xf>
    <xf numFmtId="165" fontId="54" fillId="33" borderId="12" xfId="28" applyNumberFormat="1" applyFont="1" applyFill="1" applyBorder="1" applyAlignment="1">
      <alignment horizontal="center" vertical="center"/>
    </xf>
    <xf numFmtId="165" fontId="54" fillId="33" borderId="12" xfId="28" quotePrefix="1" applyNumberFormat="1" applyFont="1" applyFill="1" applyBorder="1" applyAlignment="1">
      <alignment horizontal="center" vertical="center"/>
    </xf>
    <xf numFmtId="165" fontId="54" fillId="33" borderId="11" xfId="28" quotePrefix="1" applyNumberFormat="1" applyFont="1" applyFill="1" applyBorder="1" applyAlignment="1">
      <alignment horizontal="center" vertical="center"/>
    </xf>
    <xf numFmtId="165" fontId="54" fillId="33" borderId="12" xfId="0" applyNumberFormat="1" applyFont="1" applyFill="1" applyBorder="1" applyAlignment="1">
      <alignment horizontal="center" vertical="center"/>
    </xf>
    <xf numFmtId="176" fontId="54" fillId="33" borderId="12" xfId="0" applyNumberFormat="1" applyFont="1" applyFill="1" applyBorder="1" applyAlignment="1">
      <alignment horizontal="center" vertical="center"/>
    </xf>
    <xf numFmtId="165" fontId="70" fillId="33" borderId="12" xfId="0" applyNumberFormat="1" applyFont="1" applyFill="1" applyBorder="1" applyAlignment="1">
      <alignment vertical="center"/>
    </xf>
    <xf numFmtId="171" fontId="54" fillId="33" borderId="12" xfId="28" applyNumberFormat="1" applyFont="1" applyFill="1" applyBorder="1" applyAlignment="1">
      <alignment horizontal="center" vertical="center"/>
    </xf>
    <xf numFmtId="176" fontId="54" fillId="33" borderId="12" xfId="28" quotePrefix="1" applyNumberFormat="1" applyFont="1" applyFill="1" applyBorder="1" applyAlignment="1">
      <alignment horizontal="center" vertical="center"/>
    </xf>
    <xf numFmtId="176" fontId="54" fillId="33" borderId="12" xfId="28" applyNumberFormat="1" applyFont="1" applyFill="1" applyBorder="1" applyAlignment="1">
      <alignment horizontal="center" vertical="center"/>
    </xf>
    <xf numFmtId="165" fontId="70" fillId="33" borderId="12" xfId="0" applyNumberFormat="1" applyFont="1" applyFill="1" applyBorder="1" applyAlignment="1">
      <alignment horizontal="center" vertical="center"/>
    </xf>
    <xf numFmtId="171" fontId="51" fillId="33" borderId="11" xfId="0" applyNumberFormat="1" applyFont="1" applyFill="1" applyBorder="1" applyAlignment="1">
      <alignment horizontal="center"/>
    </xf>
    <xf numFmtId="165" fontId="46" fillId="33" borderId="0" xfId="28" applyNumberFormat="1" applyFont="1" applyFill="1" applyBorder="1" applyAlignment="1">
      <alignment vertical="center"/>
    </xf>
    <xf numFmtId="165" fontId="46" fillId="33" borderId="0" xfId="0" applyNumberFormat="1" applyFont="1" applyFill="1" applyBorder="1" applyAlignment="1">
      <alignment vertical="center"/>
    </xf>
    <xf numFmtId="165" fontId="47" fillId="27" borderId="11" xfId="28" applyNumberFormat="1" applyFont="1" applyFill="1" applyBorder="1" applyAlignment="1">
      <alignment horizontal="center" vertical="center"/>
    </xf>
    <xf numFmtId="165"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71" fontId="47" fillId="27" borderId="12" xfId="0" applyNumberFormat="1" applyFont="1" applyFill="1" applyBorder="1" applyAlignment="1">
      <alignment vertical="center"/>
    </xf>
    <xf numFmtId="165" fontId="81" fillId="27" borderId="12" xfId="28" applyNumberFormat="1" applyFont="1" applyFill="1" applyBorder="1" applyAlignment="1">
      <alignment vertical="center"/>
    </xf>
    <xf numFmtId="165"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71" fontId="81" fillId="27" borderId="12" xfId="0" applyNumberFormat="1" applyFont="1" applyFill="1" applyBorder="1" applyAlignment="1">
      <alignment horizontal="right" vertical="center"/>
    </xf>
    <xf numFmtId="171" fontId="47" fillId="27" borderId="12" xfId="0" applyNumberFormat="1" applyFont="1" applyFill="1" applyBorder="1" applyAlignment="1">
      <alignment horizontal="right" vertical="center"/>
    </xf>
    <xf numFmtId="166" fontId="81" fillId="27" borderId="12" xfId="28" applyNumberFormat="1" applyFont="1" applyFill="1" applyBorder="1" applyAlignment="1">
      <alignment horizontal="center" vertical="center"/>
    </xf>
    <xf numFmtId="166" fontId="81" fillId="27" borderId="12" xfId="28" quotePrefix="1" applyNumberFormat="1" applyFont="1" applyFill="1" applyBorder="1" applyAlignment="1">
      <alignment horizontal="center" vertical="center"/>
    </xf>
    <xf numFmtId="166" fontId="81" fillId="27" borderId="11" xfId="28" quotePrefix="1" applyNumberFormat="1" applyFont="1" applyFill="1" applyBorder="1" applyAlignment="1">
      <alignment horizontal="center" vertical="center"/>
    </xf>
    <xf numFmtId="166" fontId="81" fillId="27" borderId="12" xfId="0" applyNumberFormat="1" applyFont="1" applyFill="1" applyBorder="1" applyAlignment="1">
      <alignment horizontal="center" vertical="center"/>
    </xf>
    <xf numFmtId="165" fontId="47" fillId="33" borderId="97" xfId="28" applyNumberFormat="1" applyFont="1" applyFill="1" applyBorder="1" applyAlignment="1">
      <alignment horizontal="center" vertical="center"/>
    </xf>
    <xf numFmtId="165"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71" fontId="47" fillId="33" borderId="97" xfId="0" applyNumberFormat="1" applyFont="1" applyFill="1" applyBorder="1" applyAlignment="1">
      <alignment vertical="center"/>
    </xf>
    <xf numFmtId="165" fontId="81" fillId="33" borderId="97" xfId="28" applyNumberFormat="1" applyFont="1" applyFill="1" applyBorder="1" applyAlignment="1">
      <alignment vertical="center"/>
    </xf>
    <xf numFmtId="171" fontId="54" fillId="33" borderId="0" xfId="28" applyNumberFormat="1" applyFont="1" applyFill="1" applyBorder="1" applyAlignment="1">
      <alignment horizontal="center" vertical="center"/>
    </xf>
    <xf numFmtId="165" fontId="81" fillId="33" borderId="97" xfId="28" applyNumberFormat="1" applyFont="1" applyFill="1" applyBorder="1" applyAlignment="1">
      <alignment horizontal="center" vertical="center"/>
    </xf>
    <xf numFmtId="165" fontId="81" fillId="33" borderId="97" xfId="28" quotePrefix="1" applyNumberFormat="1" applyFont="1" applyFill="1" applyBorder="1" applyAlignment="1">
      <alignment horizontal="center" vertical="center"/>
    </xf>
    <xf numFmtId="176" fontId="54" fillId="33" borderId="0" xfId="28" quotePrefix="1" applyNumberFormat="1" applyFont="1" applyFill="1" applyBorder="1" applyAlignment="1">
      <alignment horizontal="center" vertical="center"/>
    </xf>
    <xf numFmtId="165" fontId="81" fillId="33" borderId="97" xfId="0" applyNumberFormat="1" applyFont="1" applyFill="1" applyBorder="1" applyAlignment="1">
      <alignment horizontal="center" vertical="center"/>
    </xf>
    <xf numFmtId="176"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71" fontId="81" fillId="33" borderId="97" xfId="0" applyNumberFormat="1" applyFont="1" applyFill="1" applyBorder="1" applyAlignment="1">
      <alignment horizontal="right" vertical="center"/>
    </xf>
    <xf numFmtId="171"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165" fontId="88" fillId="27" borderId="0" xfId="0" applyNumberFormat="1" applyFont="1" applyFill="1" applyAlignment="1">
      <alignment horizontal="center" vertical="center"/>
    </xf>
    <xf numFmtId="166" fontId="47" fillId="33" borderId="80" xfId="0" applyNumberFormat="1" applyFont="1" applyFill="1" applyBorder="1" applyAlignment="1">
      <alignment horizontal="center" vertical="center" wrapText="1"/>
    </xf>
    <xf numFmtId="165" fontId="51" fillId="0" borderId="97" xfId="0" applyNumberFormat="1" applyFont="1" applyFill="1" applyBorder="1" applyAlignment="1">
      <alignment horizontal="center" vertical="center"/>
    </xf>
    <xf numFmtId="165" fontId="51" fillId="33" borderId="97" xfId="0" applyNumberFormat="1" applyFont="1" applyFill="1" applyBorder="1" applyAlignment="1">
      <alignment horizontal="center" vertical="center"/>
    </xf>
    <xf numFmtId="39" fontId="51" fillId="0" borderId="97" xfId="0" applyNumberFormat="1" applyFont="1" applyFill="1" applyBorder="1" applyAlignment="1">
      <alignment horizontal="center" vertical="center"/>
    </xf>
    <xf numFmtId="171" fontId="51" fillId="0" borderId="97" xfId="0" applyNumberFormat="1" applyFont="1" applyFill="1" applyBorder="1" applyAlignment="1">
      <alignment horizontal="center" vertical="center"/>
    </xf>
    <xf numFmtId="39" fontId="81" fillId="33" borderId="38" xfId="0" applyNumberFormat="1" applyFont="1" applyFill="1" applyBorder="1" applyAlignment="1">
      <alignment horizontal="right" vertical="center" indent="1"/>
    </xf>
    <xf numFmtId="165" fontId="88" fillId="33" borderId="0" xfId="0" applyNumberFormat="1" applyFont="1" applyFill="1" applyAlignment="1">
      <alignment horizontal="center" vertic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4" fillId="0" borderId="97" xfId="40" applyFont="1" applyBorder="1" applyAlignment="1">
      <alignment horizontal="left"/>
    </xf>
    <xf numFmtId="0" fontId="4" fillId="0" borderId="0" xfId="40" applyFont="1" applyBorder="1" applyAlignment="1">
      <alignment horizontal="left"/>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4"/>
          <c:y val="8.068582955118515E-3"/>
        </c:manualLayout>
      </c:layout>
      <c:overlay val="0"/>
      <c:spPr>
        <a:noFill/>
        <a:ln w="25400">
          <a:noFill/>
        </a:ln>
      </c:spPr>
    </c:title>
    <c:autoTitleDeleted val="0"/>
    <c:plotArea>
      <c:layout>
        <c:manualLayout>
          <c:layoutTarget val="inner"/>
          <c:xMode val="edge"/>
          <c:yMode val="edge"/>
          <c:x val="0.14342629482071767"/>
          <c:y val="9.3990755007704166E-2"/>
          <c:w val="0.82868525896414591"/>
          <c:h val="0.77966101694915713"/>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250707328"/>
        <c:axId val="250721408"/>
      </c:lineChart>
      <c:catAx>
        <c:axId val="25070732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50721408"/>
        <c:crosses val="autoZero"/>
        <c:auto val="0"/>
        <c:lblAlgn val="ctr"/>
        <c:lblOffset val="100"/>
        <c:tickLblSkip val="1"/>
        <c:tickMarkSkip val="1"/>
        <c:noMultiLvlLbl val="0"/>
      </c:catAx>
      <c:valAx>
        <c:axId val="25072140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5070732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86" r="0.74803149606305186"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251602048"/>
        <c:axId val="251603584"/>
      </c:lineChart>
      <c:catAx>
        <c:axId val="2516020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251603584"/>
        <c:crosses val="autoZero"/>
        <c:auto val="0"/>
        <c:lblAlgn val="ctr"/>
        <c:lblOffset val="100"/>
        <c:tickLblSkip val="1"/>
        <c:tickMarkSkip val="1"/>
        <c:noMultiLvlLbl val="0"/>
      </c:catAx>
      <c:valAx>
        <c:axId val="25160358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25160204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8"/>
          <c:y val="8.6757990867580265E-2"/>
          <c:w val="0.82170542635659383"/>
          <c:h val="0.71689497716895201"/>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253273600"/>
        <c:axId val="253275136"/>
      </c:lineChart>
      <c:catAx>
        <c:axId val="2532736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253275136"/>
        <c:crosses val="autoZero"/>
        <c:auto val="0"/>
        <c:lblAlgn val="ctr"/>
        <c:lblOffset val="100"/>
        <c:tickLblSkip val="1"/>
        <c:tickMarkSkip val="1"/>
        <c:noMultiLvlLbl val="0"/>
      </c:catAx>
      <c:valAx>
        <c:axId val="25327513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2532736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253126144"/>
        <c:axId val="253127680"/>
      </c:lineChart>
      <c:catAx>
        <c:axId val="25312614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53127680"/>
        <c:crosses val="autoZero"/>
        <c:auto val="1"/>
        <c:lblAlgn val="ctr"/>
        <c:lblOffset val="100"/>
        <c:noMultiLvlLbl val="0"/>
      </c:catAx>
      <c:valAx>
        <c:axId val="25312768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5312614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86" l="0.70866141732288912" r="0.70866141732288912" t="0.74803149606305686" header="0.31496062992129303" footer="0.314960629921293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253901824"/>
        <c:axId val="253912192"/>
      </c:barChart>
      <c:catAx>
        <c:axId val="25390182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08"/>
              <c:y val="0.761718635170605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53912192"/>
        <c:crossesAt val="0"/>
        <c:auto val="0"/>
        <c:lblAlgn val="ctr"/>
        <c:lblOffset val="100"/>
        <c:tickLblSkip val="1"/>
        <c:tickMarkSkip val="1"/>
        <c:noMultiLvlLbl val="0"/>
      </c:catAx>
      <c:valAx>
        <c:axId val="25391219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05E-3"/>
              <c:y val="0.38281229846269393"/>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25390182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58"/>
          <c:y val="0.12254237639242166"/>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253959552"/>
        <c:axId val="253965440"/>
      </c:lineChart>
      <c:dateAx>
        <c:axId val="25395955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53965440"/>
        <c:crosses val="autoZero"/>
        <c:auto val="0"/>
        <c:lblOffset val="100"/>
        <c:baseTimeUnit val="days"/>
        <c:majorUnit val="1"/>
        <c:majorTimeUnit val="months"/>
        <c:minorUnit val="1"/>
        <c:minorTimeUnit val="months"/>
      </c:dateAx>
      <c:valAx>
        <c:axId val="25396544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1E-2"/>
              <c:y val="0.476340671701753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5395955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254010496"/>
        <c:axId val="25401203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254010496"/>
        <c:axId val="254012032"/>
      </c:lineChart>
      <c:catAx>
        <c:axId val="25401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54012032"/>
        <c:crosses val="autoZero"/>
        <c:auto val="0"/>
        <c:lblAlgn val="ctr"/>
        <c:lblOffset val="100"/>
        <c:tickLblSkip val="1"/>
        <c:tickMarkSkip val="1"/>
        <c:noMultiLvlLbl val="0"/>
      </c:catAx>
      <c:valAx>
        <c:axId val="25401203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4E-2"/>
              <c:y val="0.367602610045262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5401049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1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33"/>
          <c:h val="0.70216606498189948"/>
        </c:manualLayout>
      </c:layout>
      <c:barChart>
        <c:barDir val="col"/>
        <c:grouping val="clustered"/>
        <c:varyColors val="0"/>
        <c:ser>
          <c:idx val="1"/>
          <c:order val="0"/>
          <c:tx>
            <c:v>Volume Rencana</c:v>
          </c:tx>
          <c:spPr>
            <a:pattFill prst="dkDnDiag">
              <a:fgClr>
                <a:srgbClr val="00FF00"/>
              </a:fgClr>
              <a:bgClr>
                <a:srgbClr val="FFFFFF"/>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1'!$H$9:$H$16</c:f>
              <c:numCache>
                <c:formatCode>_(* #,##0.000_);_(* \(#,##0.000\);_(* "-"??_);_(@_)</c:formatCode>
                <c:ptCount val="8"/>
                <c:pt idx="0">
                  <c:v>30.887121</c:v>
                </c:pt>
                <c:pt idx="1">
                  <c:v>29.640999999999998</c:v>
                </c:pt>
                <c:pt idx="2">
                  <c:v>35.720999999999997</c:v>
                </c:pt>
                <c:pt idx="3">
                  <c:v>466.26100000000002</c:v>
                </c:pt>
                <c:pt idx="4">
                  <c:v>211.166</c:v>
                </c:pt>
                <c:pt idx="5">
                  <c:v>26.600999999999999</c:v>
                </c:pt>
                <c:pt idx="6">
                  <c:v>253.61799999999999</c:v>
                </c:pt>
                <c:pt idx="7">
                  <c:v>5.181</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tx>
            <c:v>Volume Realisasi</c:v>
          </c:tx>
          <c:spPr>
            <a:pattFill prst="dkUpDiag">
              <a:fgClr>
                <a:srgbClr val="FF9900"/>
              </a:fgClr>
              <a:bgClr>
                <a:srgbClr val="FF6600"/>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1'!$I$9:$I$16</c:f>
              <c:numCache>
                <c:formatCode>_(* #,##0.000_);_(* \(#,##0.000\);_(* "-"??_);_(@_)</c:formatCode>
                <c:ptCount val="8"/>
                <c:pt idx="0">
                  <c:v>28.911000000000001</c:v>
                </c:pt>
                <c:pt idx="1">
                  <c:v>50.14</c:v>
                </c:pt>
                <c:pt idx="2">
                  <c:v>37.793999999999997</c:v>
                </c:pt>
                <c:pt idx="3">
                  <c:v>615.56799999999998</c:v>
                </c:pt>
                <c:pt idx="4">
                  <c:v>204.35</c:v>
                </c:pt>
                <c:pt idx="5">
                  <c:v>22.573</c:v>
                </c:pt>
                <c:pt idx="6">
                  <c:v>293.041</c:v>
                </c:pt>
                <c:pt idx="7">
                  <c:v>8.0489999999999995</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252942208"/>
        <c:axId val="252943744"/>
      </c:barChart>
      <c:lineChart>
        <c:grouping val="standard"/>
        <c:varyColors val="0"/>
        <c:ser>
          <c:idx val="2"/>
          <c:order val="2"/>
          <c:tx>
            <c:v>Elevasi Rencana</c:v>
          </c:tx>
          <c:spPr>
            <a:ln w="38100">
              <a:solidFill>
                <a:srgbClr val="0000FF"/>
              </a:solidFill>
              <a:prstDash val="solid"/>
            </a:ln>
          </c:spPr>
          <c:marker>
            <c:symbol val="x"/>
            <c:size val="5"/>
            <c:spPr>
              <a:solidFill>
                <a:srgbClr val="0000FF"/>
              </a:solidFill>
              <a:ln>
                <a:solidFill>
                  <a:srgbClr val="0000FF"/>
                </a:solidFill>
                <a:prstDash val="solid"/>
              </a:ln>
            </c:spPr>
          </c:marker>
          <c:cat>
            <c:numRef>
              <c:f>'RINCI 1'!$F$9:$F$16</c:f>
              <c:numCache>
                <c:formatCode>_(* #,##0.00_);_(* \(#,##0.00\);_(* "-"??_);_(@_)</c:formatCode>
                <c:ptCount val="8"/>
                <c:pt idx="0">
                  <c:v>55.73</c:v>
                </c:pt>
                <c:pt idx="1">
                  <c:v>74.11</c:v>
                </c:pt>
                <c:pt idx="2">
                  <c:v>462.39</c:v>
                </c:pt>
                <c:pt idx="3">
                  <c:v>85.14</c:v>
                </c:pt>
                <c:pt idx="4">
                  <c:v>132.91999999999999</c:v>
                </c:pt>
                <c:pt idx="5">
                  <c:v>67.900000000000006</c:v>
                </c:pt>
                <c:pt idx="6">
                  <c:v>171.1</c:v>
                </c:pt>
                <c:pt idx="7">
                  <c:v>229</c:v>
                </c:pt>
              </c:numCache>
            </c:numRef>
          </c:cat>
          <c:val>
            <c:numRef>
              <c:f>'RINCI 1'!$F$9:$F$16</c:f>
              <c:numCache>
                <c:formatCode>_(* #,##0.00_);_(* \(#,##0.00\);_(* "-"??_);_(@_)</c:formatCode>
                <c:ptCount val="8"/>
                <c:pt idx="0">
                  <c:v>55.73</c:v>
                </c:pt>
                <c:pt idx="1">
                  <c:v>74.11</c:v>
                </c:pt>
                <c:pt idx="2">
                  <c:v>462.39</c:v>
                </c:pt>
                <c:pt idx="3">
                  <c:v>85.14</c:v>
                </c:pt>
                <c:pt idx="4">
                  <c:v>132.91999999999999</c:v>
                </c:pt>
                <c:pt idx="5">
                  <c:v>67.900000000000006</c:v>
                </c:pt>
                <c:pt idx="6">
                  <c:v>171.1</c:v>
                </c:pt>
                <c:pt idx="7">
                  <c:v>229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tx>
            <c:v>Elevasi Realisasi</c:v>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1'!$G$9:$G$16</c:f>
              <c:numCache>
                <c:formatCode>_(* #,##0.00_);_(* \(#,##0.00\);_(* "-"??_);_(@_)</c:formatCode>
                <c:ptCount val="8"/>
                <c:pt idx="0">
                  <c:v>55.38</c:v>
                </c:pt>
                <c:pt idx="1">
                  <c:v>77.67</c:v>
                </c:pt>
                <c:pt idx="2">
                  <c:v>462.5</c:v>
                </c:pt>
                <c:pt idx="3">
                  <c:v>88.6</c:v>
                </c:pt>
                <c:pt idx="4">
                  <c:v>132.63999999999999</c:v>
                </c:pt>
                <c:pt idx="5">
                  <c:v>65.790000000000006</c:v>
                </c:pt>
                <c:pt idx="6">
                  <c:v>175.32</c:v>
                </c:pt>
                <c:pt idx="7">
                  <c:v>229.59</c:v>
                </c:pt>
              </c:numCache>
            </c:numRef>
          </c:cat>
          <c:val>
            <c:numRef>
              <c:f>'RINCI 1'!$G$9:$G$16</c:f>
              <c:numCache>
                <c:formatCode>_(* #,##0.00_);_(* \(#,##0.00\);_(* "-"??_);_(@_)</c:formatCode>
                <c:ptCount val="8"/>
                <c:pt idx="0">
                  <c:v>55.38</c:v>
                </c:pt>
                <c:pt idx="1">
                  <c:v>77.67</c:v>
                </c:pt>
                <c:pt idx="2">
                  <c:v>462.5</c:v>
                </c:pt>
                <c:pt idx="3">
                  <c:v>88.6</c:v>
                </c:pt>
                <c:pt idx="4">
                  <c:v>132.63999999999999</c:v>
                </c:pt>
                <c:pt idx="5">
                  <c:v>65.790000000000006</c:v>
                </c:pt>
                <c:pt idx="6">
                  <c:v>175.32</c:v>
                </c:pt>
                <c:pt idx="7">
                  <c:v>229.59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252966400"/>
        <c:axId val="252968320"/>
      </c:lineChart>
      <c:catAx>
        <c:axId val="25294220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252943744"/>
        <c:crossesAt val="10"/>
        <c:auto val="0"/>
        <c:lblAlgn val="ctr"/>
        <c:lblOffset val="100"/>
        <c:tickLblSkip val="1"/>
        <c:tickMarkSkip val="1"/>
        <c:noMultiLvlLbl val="0"/>
      </c:catAx>
      <c:valAx>
        <c:axId val="25294374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83E-3"/>
              <c:y val="0.45683447511299485"/>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252942208"/>
        <c:crosses val="autoZero"/>
        <c:crossBetween val="between"/>
        <c:majorUnit val="50"/>
      </c:valAx>
      <c:catAx>
        <c:axId val="25296640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94"/>
              <c:y val="5.0959379175076015E-2"/>
            </c:manualLayout>
          </c:layout>
          <c:overlay val="0"/>
          <c:spPr>
            <a:noFill/>
            <a:ln w="25400">
              <a:noFill/>
            </a:ln>
          </c:spPr>
        </c:title>
        <c:numFmt formatCode="_(* #,##0.00_);_(* \(#,##0.00\);_(* &quot;-&quot;??_);_(@_)" sourceLinked="1"/>
        <c:majorTickMark val="out"/>
        <c:minorTickMark val="none"/>
        <c:tickLblPos val="nextTo"/>
        <c:crossAx val="252968320"/>
        <c:crosses val="autoZero"/>
        <c:auto val="0"/>
        <c:lblAlgn val="ctr"/>
        <c:lblOffset val="100"/>
        <c:noMultiLvlLbl val="0"/>
      </c:catAx>
      <c:valAx>
        <c:axId val="25296832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93"/>
              <c:y val="0.47302159432237145"/>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5296640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5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86"/>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7.0949999999999998</c:v>
                </c:pt>
                <c:pt idx="1">
                  <c:v>7.3540000000000001</c:v>
                </c:pt>
                <c:pt idx="2">
                  <c:v>3.4660000000000002</c:v>
                </c:pt>
                <c:pt idx="3">
                  <c:v>1.232</c:v>
                </c:pt>
                <c:pt idx="4">
                  <c:v>0.96199999999999997</c:v>
                </c:pt>
                <c:pt idx="5">
                  <c:v>1.9059999999999999</c:v>
                </c:pt>
                <c:pt idx="6">
                  <c:v>1.4239999999999999</c:v>
                </c:pt>
                <c:pt idx="7">
                  <c:v>0.745</c:v>
                </c:pt>
                <c:pt idx="8">
                  <c:v>0.30299999999999999</c:v>
                </c:pt>
                <c:pt idx="9">
                  <c:v>0.17599999999999999</c:v>
                </c:pt>
                <c:pt idx="10">
                  <c:v>8.4000000000000005E-2</c:v>
                </c:pt>
                <c:pt idx="11">
                  <c:v>2.1120000000000001</c:v>
                </c:pt>
                <c:pt idx="12">
                  <c:v>0.27300000000000002</c:v>
                </c:pt>
                <c:pt idx="13">
                  <c:v>0.38400000000000001</c:v>
                </c:pt>
                <c:pt idx="14">
                  <c:v>0.67500000000000004</c:v>
                </c:pt>
                <c:pt idx="15">
                  <c:v>0.16300000000000001</c:v>
                </c:pt>
                <c:pt idx="16">
                  <c:v>0.49199999999999999</c:v>
                </c:pt>
                <c:pt idx="17">
                  <c:v>1.708</c:v>
                </c:pt>
                <c:pt idx="18">
                  <c:v>0</c:v>
                </c:pt>
                <c:pt idx="19">
                  <c:v>3.052</c:v>
                </c:pt>
                <c:pt idx="20">
                  <c:v>0.69599999999999995</c:v>
                </c:pt>
                <c:pt idx="21">
                  <c:v>0.71</c:v>
                </c:pt>
                <c:pt idx="22">
                  <c:v>0.48</c:v>
                </c:pt>
                <c:pt idx="23">
                  <c:v>2.7770000000000001</c:v>
                </c:pt>
                <c:pt idx="24">
                  <c:v>0.08</c:v>
                </c:pt>
                <c:pt idx="25">
                  <c:v>9.7000000000000003E-2</c:v>
                </c:pt>
                <c:pt idx="26">
                  <c:v>9.1560000000000006</c:v>
                </c:pt>
                <c:pt idx="27">
                  <c:v>2.8559999999999999</c:v>
                </c:pt>
                <c:pt idx="28">
                  <c:v>4.1539999999999999</c:v>
                </c:pt>
                <c:pt idx="2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253466496"/>
        <c:axId val="25346803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7.41</c:v>
                </c:pt>
                <c:pt idx="1">
                  <c:v>8.67</c:v>
                </c:pt>
                <c:pt idx="2">
                  <c:v>3.9460000000000002</c:v>
                </c:pt>
                <c:pt idx="3">
                  <c:v>0.66900000000000004</c:v>
                </c:pt>
                <c:pt idx="4">
                  <c:v>0.314</c:v>
                </c:pt>
                <c:pt idx="5">
                  <c:v>1.536</c:v>
                </c:pt>
                <c:pt idx="6">
                  <c:v>1.796</c:v>
                </c:pt>
                <c:pt idx="7">
                  <c:v>0.79800000000000004</c:v>
                </c:pt>
                <c:pt idx="8">
                  <c:v>4.7E-2</c:v>
                </c:pt>
                <c:pt idx="9">
                  <c:v>0.21299999999999999</c:v>
                </c:pt>
                <c:pt idx="10">
                  <c:v>0.39700000000000002</c:v>
                </c:pt>
                <c:pt idx="11">
                  <c:v>1.7237</c:v>
                </c:pt>
                <c:pt idx="12">
                  <c:v>0.1249</c:v>
                </c:pt>
                <c:pt idx="13">
                  <c:v>0.2392</c:v>
                </c:pt>
                <c:pt idx="14">
                  <c:v>0.78080000000000005</c:v>
                </c:pt>
                <c:pt idx="15">
                  <c:v>5.7000000000000002E-2</c:v>
                </c:pt>
                <c:pt idx="16">
                  <c:v>0.45069999999999999</c:v>
                </c:pt>
                <c:pt idx="17">
                  <c:v>1.4849000000000001</c:v>
                </c:pt>
                <c:pt idx="18">
                  <c:v>0</c:v>
                </c:pt>
                <c:pt idx="19">
                  <c:v>2.8117999999999999</c:v>
                </c:pt>
                <c:pt idx="20">
                  <c:v>0.66800000000000004</c:v>
                </c:pt>
                <c:pt idx="21">
                  <c:v>0.65710000000000002</c:v>
                </c:pt>
                <c:pt idx="22">
                  <c:v>0.48499999999999999</c:v>
                </c:pt>
                <c:pt idx="23">
                  <c:v>2.8273000000000001</c:v>
                </c:pt>
                <c:pt idx="24">
                  <c:v>7.2599999999999998E-2</c:v>
                </c:pt>
                <c:pt idx="25">
                  <c:v>9.9099999999999994E-2</c:v>
                </c:pt>
                <c:pt idx="26">
                  <c:v>7.2649999999999997</c:v>
                </c:pt>
                <c:pt idx="27">
                  <c:v>2.5903999999999998</c:v>
                </c:pt>
                <c:pt idx="28">
                  <c:v>3.8681000000000001</c:v>
                </c:pt>
                <c:pt idx="29">
                  <c:v>2.6930999999999998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253474304"/>
        <c:axId val="253475840"/>
      </c:lineChart>
      <c:catAx>
        <c:axId val="25346649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253468032"/>
        <c:crosses val="autoZero"/>
        <c:auto val="1"/>
        <c:lblAlgn val="ctr"/>
        <c:lblOffset val="100"/>
        <c:tickMarkSkip val="1"/>
        <c:noMultiLvlLbl val="0"/>
      </c:catAx>
      <c:valAx>
        <c:axId val="25346803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2E-2"/>
              <c:y val="0.34698687664042177"/>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53466496"/>
        <c:crosses val="autoZero"/>
        <c:crossBetween val="between"/>
        <c:majorUnit val="0.5"/>
      </c:valAx>
      <c:catAx>
        <c:axId val="253474304"/>
        <c:scaling>
          <c:orientation val="minMax"/>
        </c:scaling>
        <c:delete val="1"/>
        <c:axPos val="b"/>
        <c:numFmt formatCode="General" sourceLinked="1"/>
        <c:majorTickMark val="out"/>
        <c:minorTickMark val="none"/>
        <c:tickLblPos val="nextTo"/>
        <c:crossAx val="253475840"/>
        <c:crosses val="autoZero"/>
        <c:auto val="1"/>
        <c:lblAlgn val="ctr"/>
        <c:lblOffset val="100"/>
        <c:noMultiLvlLbl val="0"/>
      </c:catAx>
      <c:valAx>
        <c:axId val="25347584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25347430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7"/>
          <c:w val="0.5289375076352405"/>
          <c:h val="9.8958347597855281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338.7</c:v>
                </c:pt>
                <c:pt idx="1">
                  <c:v>205.3</c:v>
                </c:pt>
                <c:pt idx="2">
                  <c:v>316.26</c:v>
                </c:pt>
                <c:pt idx="3">
                  <c:v>118.44</c:v>
                </c:pt>
                <c:pt idx="4">
                  <c:v>115.88</c:v>
                </c:pt>
                <c:pt idx="5">
                  <c:v>42.79</c:v>
                </c:pt>
                <c:pt idx="6">
                  <c:v>48.52</c:v>
                </c:pt>
                <c:pt idx="7">
                  <c:v>79.91</c:v>
                </c:pt>
                <c:pt idx="8">
                  <c:v>81.96</c:v>
                </c:pt>
                <c:pt idx="9">
                  <c:v>69.47</c:v>
                </c:pt>
                <c:pt idx="10">
                  <c:v>45.8</c:v>
                </c:pt>
                <c:pt idx="11">
                  <c:v>113</c:v>
                </c:pt>
                <c:pt idx="12">
                  <c:v>203.5</c:v>
                </c:pt>
                <c:pt idx="13">
                  <c:v>223.53</c:v>
                </c:pt>
                <c:pt idx="14">
                  <c:v>195.5</c:v>
                </c:pt>
                <c:pt idx="15">
                  <c:v>170.57</c:v>
                </c:pt>
                <c:pt idx="16">
                  <c:v>226.6</c:v>
                </c:pt>
                <c:pt idx="17">
                  <c:v>248.7</c:v>
                </c:pt>
                <c:pt idx="18">
                  <c:v>140</c:v>
                </c:pt>
                <c:pt idx="19">
                  <c:v>204.56</c:v>
                </c:pt>
                <c:pt idx="20">
                  <c:v>325.5</c:v>
                </c:pt>
                <c:pt idx="21">
                  <c:v>129.19999999999999</c:v>
                </c:pt>
                <c:pt idx="22">
                  <c:v>282.95999999999998</c:v>
                </c:pt>
                <c:pt idx="23">
                  <c:v>98.85</c:v>
                </c:pt>
                <c:pt idx="24">
                  <c:v>189.7</c:v>
                </c:pt>
                <c:pt idx="25">
                  <c:v>171.2</c:v>
                </c:pt>
                <c:pt idx="26">
                  <c:v>140.30000000000001</c:v>
                </c:pt>
                <c:pt idx="27">
                  <c:v>239.7</c:v>
                </c:pt>
                <c:pt idx="28">
                  <c:v>120.75</c:v>
                </c:pt>
                <c:pt idx="2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339.07</c:v>
                </c:pt>
                <c:pt idx="1">
                  <c:v>206.3</c:v>
                </c:pt>
                <c:pt idx="2">
                  <c:v>317.35000000000002</c:v>
                </c:pt>
                <c:pt idx="3">
                  <c:v>117.4</c:v>
                </c:pt>
                <c:pt idx="4">
                  <c:v>116.33</c:v>
                </c:pt>
                <c:pt idx="5">
                  <c:v>42.63</c:v>
                </c:pt>
                <c:pt idx="6">
                  <c:v>49.65</c:v>
                </c:pt>
                <c:pt idx="7">
                  <c:v>78.260000000000005</c:v>
                </c:pt>
                <c:pt idx="8">
                  <c:v>81.31</c:v>
                </c:pt>
                <c:pt idx="9">
                  <c:v>63.67</c:v>
                </c:pt>
                <c:pt idx="10">
                  <c:v>47</c:v>
                </c:pt>
                <c:pt idx="11">
                  <c:v>112.09</c:v>
                </c:pt>
                <c:pt idx="12">
                  <c:v>201.8</c:v>
                </c:pt>
                <c:pt idx="13">
                  <c:v>221.52</c:v>
                </c:pt>
                <c:pt idx="14">
                  <c:v>196.05</c:v>
                </c:pt>
                <c:pt idx="15">
                  <c:v>168.47</c:v>
                </c:pt>
                <c:pt idx="16">
                  <c:v>226.12</c:v>
                </c:pt>
                <c:pt idx="17">
                  <c:v>247.9</c:v>
                </c:pt>
                <c:pt idx="18">
                  <c:v>140</c:v>
                </c:pt>
                <c:pt idx="19">
                  <c:v>204.16</c:v>
                </c:pt>
                <c:pt idx="20">
                  <c:v>325.2</c:v>
                </c:pt>
                <c:pt idx="21">
                  <c:v>128.81</c:v>
                </c:pt>
                <c:pt idx="22">
                  <c:v>283.02999999999997</c:v>
                </c:pt>
                <c:pt idx="23">
                  <c:v>98.92</c:v>
                </c:pt>
                <c:pt idx="24">
                  <c:v>189.36</c:v>
                </c:pt>
                <c:pt idx="25">
                  <c:v>171.28</c:v>
                </c:pt>
                <c:pt idx="26">
                  <c:v>139.63</c:v>
                </c:pt>
                <c:pt idx="27">
                  <c:v>239.28</c:v>
                </c:pt>
                <c:pt idx="28">
                  <c:v>120.6</c:v>
                </c:pt>
                <c:pt idx="29">
                  <c:v>110.53</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253597952"/>
        <c:axId val="253603840"/>
      </c:barChart>
      <c:catAx>
        <c:axId val="25359795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253603840"/>
        <c:crossesAt val="0"/>
        <c:auto val="0"/>
        <c:lblAlgn val="ctr"/>
        <c:lblOffset val="100"/>
        <c:tickLblSkip val="1"/>
        <c:tickMarkSkip val="1"/>
        <c:noMultiLvlLbl val="0"/>
      </c:catAx>
      <c:valAx>
        <c:axId val="25360384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25359795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18"/>
          <c:w val="0.36270038791381676"/>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86" r="0.74803149606305686"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46"/>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28.911000000000001</c:v>
                </c:pt>
                <c:pt idx="1">
                  <c:v>50.14</c:v>
                </c:pt>
                <c:pt idx="2">
                  <c:v>37.793999999999997</c:v>
                </c:pt>
                <c:pt idx="3">
                  <c:v>615.56799999999998</c:v>
                </c:pt>
                <c:pt idx="4">
                  <c:v>204.35</c:v>
                </c:pt>
                <c:pt idx="5">
                  <c:v>22.573</c:v>
                </c:pt>
                <c:pt idx="6">
                  <c:v>293.041</c:v>
                </c:pt>
                <c:pt idx="7">
                  <c:v>8.0489999999999995</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253409536"/>
        <c:axId val="25449676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28.911000000000001</c:v>
                </c:pt>
                <c:pt idx="1">
                  <c:v>50.14</c:v>
                </c:pt>
                <c:pt idx="2">
                  <c:v>37.793999999999997</c:v>
                </c:pt>
                <c:pt idx="3">
                  <c:v>615.56799999999998</c:v>
                </c:pt>
                <c:pt idx="4">
                  <c:v>204.35</c:v>
                </c:pt>
                <c:pt idx="5">
                  <c:v>22.573</c:v>
                </c:pt>
                <c:pt idx="6">
                  <c:v>293.041</c:v>
                </c:pt>
                <c:pt idx="7">
                  <c:v>8.0489999999999995</c:v>
                </c:pt>
              </c:numCache>
            </c:numRef>
          </c:cat>
          <c:val>
            <c:numRef>
              <c:f>'RINCI 1'!$F$9:$F$16</c:f>
              <c:numCache>
                <c:formatCode>_(* #,##0.00_);_(* \(#,##0.00\);_(* "-"??_);_(@_)</c:formatCode>
                <c:ptCount val="8"/>
                <c:pt idx="0">
                  <c:v>55.73</c:v>
                </c:pt>
                <c:pt idx="1">
                  <c:v>74.11</c:v>
                </c:pt>
                <c:pt idx="2">
                  <c:v>462.39</c:v>
                </c:pt>
                <c:pt idx="3">
                  <c:v>85.14</c:v>
                </c:pt>
                <c:pt idx="4">
                  <c:v>132.91999999999999</c:v>
                </c:pt>
                <c:pt idx="5">
                  <c:v>67.900000000000006</c:v>
                </c:pt>
                <c:pt idx="6">
                  <c:v>171.1</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28.911000000000001</c:v>
                </c:pt>
                <c:pt idx="1">
                  <c:v>50.14</c:v>
                </c:pt>
                <c:pt idx="2">
                  <c:v>37.793999999999997</c:v>
                </c:pt>
                <c:pt idx="3">
                  <c:v>615.56799999999998</c:v>
                </c:pt>
                <c:pt idx="4">
                  <c:v>204.35</c:v>
                </c:pt>
                <c:pt idx="5">
                  <c:v>22.573</c:v>
                </c:pt>
                <c:pt idx="6">
                  <c:v>293.041</c:v>
                </c:pt>
                <c:pt idx="7">
                  <c:v>8.0489999999999995</c:v>
                </c:pt>
              </c:numCache>
            </c:numRef>
          </c:cat>
          <c:val>
            <c:numRef>
              <c:f>'RINCI 1'!$G$9:$G$16</c:f>
              <c:numCache>
                <c:formatCode>_(* #,##0.00_);_(* \(#,##0.00\);_(* "-"??_);_(@_)</c:formatCode>
                <c:ptCount val="8"/>
                <c:pt idx="0">
                  <c:v>55.38</c:v>
                </c:pt>
                <c:pt idx="1">
                  <c:v>77.67</c:v>
                </c:pt>
                <c:pt idx="2">
                  <c:v>462.5</c:v>
                </c:pt>
                <c:pt idx="3">
                  <c:v>88.6</c:v>
                </c:pt>
                <c:pt idx="4">
                  <c:v>132.63999999999999</c:v>
                </c:pt>
                <c:pt idx="5">
                  <c:v>65.790000000000006</c:v>
                </c:pt>
                <c:pt idx="6">
                  <c:v>175.32</c:v>
                </c:pt>
                <c:pt idx="7">
                  <c:v>229.59</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254498688"/>
        <c:axId val="254504960"/>
      </c:lineChart>
      <c:catAx>
        <c:axId val="25340953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54496768"/>
        <c:crossesAt val="10"/>
        <c:auto val="0"/>
        <c:lblAlgn val="ctr"/>
        <c:lblOffset val="100"/>
        <c:tickLblSkip val="1"/>
        <c:tickMarkSkip val="1"/>
        <c:noMultiLvlLbl val="0"/>
      </c:catAx>
      <c:valAx>
        <c:axId val="25449676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87"/>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253409536"/>
        <c:crosses val="autoZero"/>
        <c:crossBetween val="between"/>
        <c:majorUnit val="100"/>
      </c:valAx>
      <c:catAx>
        <c:axId val="25449868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5"/>
              <c:y val="0.56538899304253643"/>
            </c:manualLayout>
          </c:layout>
          <c:overlay val="0"/>
          <c:spPr>
            <a:noFill/>
            <a:ln w="25400">
              <a:noFill/>
            </a:ln>
          </c:spPr>
        </c:title>
        <c:numFmt formatCode="_(* #,##0.000_);_(* \(#,##0.000\);_(* &quot;-&quot;??_);_(@_)" sourceLinked="1"/>
        <c:majorTickMark val="out"/>
        <c:minorTickMark val="none"/>
        <c:tickLblPos val="nextTo"/>
        <c:crossAx val="254504960"/>
        <c:crosses val="autoZero"/>
        <c:auto val="0"/>
        <c:lblAlgn val="ctr"/>
        <c:lblOffset val="100"/>
        <c:noMultiLvlLbl val="0"/>
      </c:catAx>
      <c:valAx>
        <c:axId val="25450496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66"/>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25449868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62"/>
          <c:w val="0.61282400153381755"/>
          <c:h val="0.31384499159827461"/>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251232256"/>
        <c:axId val="251233792"/>
      </c:lineChart>
      <c:catAx>
        <c:axId val="25123225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51233792"/>
        <c:crosses val="autoZero"/>
        <c:auto val="0"/>
        <c:lblAlgn val="ctr"/>
        <c:lblOffset val="100"/>
        <c:tickLblSkip val="1"/>
        <c:tickMarkSkip val="1"/>
        <c:noMultiLvlLbl val="0"/>
      </c:catAx>
      <c:valAx>
        <c:axId val="25123379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25123225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251318656"/>
        <c:axId val="251320192"/>
      </c:lineChart>
      <c:catAx>
        <c:axId val="251318656"/>
        <c:scaling>
          <c:orientation val="minMax"/>
        </c:scaling>
        <c:delete val="0"/>
        <c:axPos val="b"/>
        <c:numFmt formatCode="General" sourceLinked="0"/>
        <c:majorTickMark val="none"/>
        <c:minorTickMark val="none"/>
        <c:tickLblPos val="nextTo"/>
        <c:txPr>
          <a:bodyPr/>
          <a:lstStyle/>
          <a:p>
            <a:pPr>
              <a:defRPr lang="en-GB"/>
            </a:pPr>
            <a:endParaRPr lang="en-US"/>
          </a:p>
        </c:txPr>
        <c:crossAx val="251320192"/>
        <c:crosses val="autoZero"/>
        <c:auto val="1"/>
        <c:lblAlgn val="ctr"/>
        <c:lblOffset val="100"/>
        <c:noMultiLvlLbl val="0"/>
      </c:catAx>
      <c:valAx>
        <c:axId val="25132019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25131865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251462784"/>
        <c:axId val="251464320"/>
      </c:lineChart>
      <c:catAx>
        <c:axId val="25146278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251464320"/>
        <c:crosses val="autoZero"/>
        <c:auto val="0"/>
        <c:lblAlgn val="ctr"/>
        <c:lblOffset val="100"/>
        <c:tickLblSkip val="1"/>
        <c:tickMarkSkip val="1"/>
        <c:noMultiLvlLbl val="0"/>
      </c:catAx>
      <c:valAx>
        <c:axId val="25146432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25146278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251710464"/>
        <c:axId val="251732736"/>
      </c:lineChart>
      <c:catAx>
        <c:axId val="2517104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51732736"/>
        <c:crossesAt val="0"/>
        <c:auto val="0"/>
        <c:lblAlgn val="ctr"/>
        <c:lblOffset val="100"/>
        <c:tickMarkSkip val="1"/>
        <c:noMultiLvlLbl val="0"/>
      </c:catAx>
      <c:valAx>
        <c:axId val="25173273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517104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251799808"/>
        <c:axId val="251813888"/>
      </c:lineChart>
      <c:catAx>
        <c:axId val="25179980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251813888"/>
        <c:crosses val="autoZero"/>
        <c:auto val="0"/>
        <c:lblAlgn val="ctr"/>
        <c:lblOffset val="100"/>
        <c:tickLblSkip val="1"/>
        <c:tickMarkSkip val="1"/>
        <c:noMultiLvlLbl val="0"/>
      </c:catAx>
      <c:valAx>
        <c:axId val="25181388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25179980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95"/>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252230272"/>
        <c:axId val="252244352"/>
      </c:lineChart>
      <c:catAx>
        <c:axId val="25223027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252244352"/>
        <c:crosses val="autoZero"/>
        <c:auto val="0"/>
        <c:lblAlgn val="ctr"/>
        <c:lblOffset val="100"/>
        <c:tickLblSkip val="1"/>
        <c:tickMarkSkip val="1"/>
        <c:noMultiLvlLbl val="0"/>
      </c:catAx>
      <c:valAx>
        <c:axId val="25224435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252230272"/>
        <c:crosses val="autoZero"/>
        <c:crossBetween val="between"/>
        <c:majorUnit val="50"/>
        <c:minorUnit val="10"/>
      </c:valAx>
      <c:dTable>
        <c:showHorzBorder val="1"/>
        <c:showVertBorder val="1"/>
        <c:showOutline val="1"/>
        <c:showKeys val="1"/>
        <c:txPr>
          <a:bodyPr/>
          <a:lstStyle/>
          <a:p>
            <a:pPr>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08" r="0.74803149606305308"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252807808"/>
        <c:axId val="252830080"/>
      </c:lineChart>
      <c:catAx>
        <c:axId val="252807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52830080"/>
        <c:crossesAt val="0"/>
        <c:auto val="0"/>
        <c:lblAlgn val="ctr"/>
        <c:lblOffset val="100"/>
        <c:tickLblSkip val="1"/>
        <c:tickMarkSkip val="1"/>
        <c:noMultiLvlLbl val="0"/>
      </c:catAx>
      <c:valAx>
        <c:axId val="25283008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5280780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251992704"/>
        <c:axId val="252002688"/>
      </c:lineChart>
      <c:catAx>
        <c:axId val="251992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252002688"/>
        <c:crossesAt val="0"/>
        <c:auto val="0"/>
        <c:lblAlgn val="ctr"/>
        <c:lblOffset val="100"/>
        <c:tickMarkSkip val="1"/>
        <c:noMultiLvlLbl val="0"/>
      </c:catAx>
      <c:valAx>
        <c:axId val="25200268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5199270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zoomScale="80" zoomScaleNormal="90" zoomScaleSheetLayoutView="80" workbookViewId="0">
      <selection activeCell="O14" sqref="O14"/>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27" t="s">
        <v>282</v>
      </c>
      <c r="C2" s="827"/>
      <c r="D2" s="827"/>
      <c r="E2" s="827"/>
      <c r="F2" s="827"/>
      <c r="G2" s="827"/>
      <c r="H2" s="827"/>
      <c r="I2" s="827"/>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24">
        <v>2019</v>
      </c>
      <c r="I4" s="512">
        <v>2020</v>
      </c>
      <c r="J4" s="510">
        <v>2021</v>
      </c>
      <c r="K4" s="624">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25">
        <v>685.98</v>
      </c>
      <c r="I5" s="513">
        <v>578.73</v>
      </c>
      <c r="J5" s="728">
        <v>1335.21</v>
      </c>
      <c r="K5" s="727">
        <v>1123.8399999999999</v>
      </c>
      <c r="L5" s="626"/>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26">
        <v>965.1</v>
      </c>
      <c r="I6" s="513">
        <v>933.5</v>
      </c>
      <c r="J6" s="728">
        <v>1620.18</v>
      </c>
      <c r="K6" s="727">
        <v>1327.38</v>
      </c>
      <c r="L6" s="626" t="s">
        <v>254</v>
      </c>
      <c r="M6" s="219"/>
      <c r="N6" s="219">
        <v>1179.1300000000001</v>
      </c>
      <c r="O6" s="219"/>
      <c r="P6" s="219"/>
      <c r="Q6" s="219"/>
    </row>
    <row r="7" spans="2:17" ht="21" customHeight="1" thickBot="1" x14ac:dyDescent="0.3">
      <c r="B7" s="456" t="s">
        <v>4</v>
      </c>
      <c r="C7" s="494">
        <v>1484.335</v>
      </c>
      <c r="D7" s="494">
        <v>1612.5889999999999</v>
      </c>
      <c r="E7" s="499">
        <v>1187.53</v>
      </c>
      <c r="F7" s="501">
        <v>1573.59</v>
      </c>
      <c r="G7" s="501">
        <v>1635.05</v>
      </c>
      <c r="H7" s="502">
        <v>1280.54</v>
      </c>
      <c r="I7" s="823">
        <v>1248.96</v>
      </c>
      <c r="J7" s="728">
        <v>1609.71</v>
      </c>
      <c r="K7" s="727"/>
      <c r="L7" s="626"/>
      <c r="M7" s="219"/>
      <c r="N7" s="724">
        <v>1246.25</v>
      </c>
      <c r="O7" s="219"/>
      <c r="P7" s="219"/>
      <c r="Q7" s="219"/>
    </row>
    <row r="8" spans="2:17" ht="21" customHeight="1" thickBot="1" x14ac:dyDescent="0.3">
      <c r="B8" s="456" t="s">
        <v>5</v>
      </c>
      <c r="C8" s="495">
        <v>1562.1959999999999</v>
      </c>
      <c r="D8" s="494">
        <v>1742.549</v>
      </c>
      <c r="E8" s="499">
        <v>1298.76</v>
      </c>
      <c r="F8" s="501">
        <v>1646.07</v>
      </c>
      <c r="G8" s="501">
        <v>1530.75</v>
      </c>
      <c r="H8" s="502">
        <v>1321.99</v>
      </c>
      <c r="I8" s="823">
        <v>1325.65</v>
      </c>
      <c r="J8" s="728">
        <v>1551.92</v>
      </c>
      <c r="K8" s="727"/>
      <c r="L8" s="626"/>
      <c r="M8" s="219"/>
      <c r="N8" s="219">
        <v>1306.71</v>
      </c>
      <c r="O8" s="220"/>
      <c r="P8" s="219"/>
      <c r="Q8" s="219"/>
    </row>
    <row r="9" spans="2:17" ht="21" customHeight="1" thickBot="1" x14ac:dyDescent="0.3">
      <c r="B9" s="456" t="s">
        <v>6</v>
      </c>
      <c r="C9" s="494">
        <v>1452.779</v>
      </c>
      <c r="D9" s="494">
        <v>1583.836</v>
      </c>
      <c r="E9" s="499">
        <v>1273.26</v>
      </c>
      <c r="F9" s="501">
        <v>1483.57</v>
      </c>
      <c r="G9" s="501">
        <v>1234.3800000000001</v>
      </c>
      <c r="H9" s="502">
        <v>1136.71</v>
      </c>
      <c r="I9" s="823">
        <v>1372.39</v>
      </c>
      <c r="J9" s="728">
        <v>1350.16</v>
      </c>
      <c r="K9" s="727"/>
      <c r="L9" s="626"/>
      <c r="M9" s="219"/>
      <c r="N9" s="216">
        <v>1327.6</v>
      </c>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23">
        <v>1211.83</v>
      </c>
      <c r="J10" s="728">
        <v>1268.01</v>
      </c>
      <c r="K10" s="727"/>
      <c r="L10" s="626"/>
      <c r="M10" s="219"/>
      <c r="N10" s="216">
        <v>1327.38</v>
      </c>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23">
        <v>1049.52</v>
      </c>
      <c r="J11" s="728">
        <v>1176.1500000000001</v>
      </c>
      <c r="K11" s="727"/>
      <c r="L11" s="626"/>
      <c r="M11" s="219"/>
      <c r="N11" s="737"/>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28">
        <v>1026.48</v>
      </c>
      <c r="K12" s="727"/>
      <c r="L12" s="626"/>
      <c r="M12" s="219"/>
      <c r="N12" s="219"/>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28">
        <v>899.87</v>
      </c>
      <c r="K13" s="727"/>
      <c r="L13" s="626"/>
      <c r="M13" s="219"/>
      <c r="N13" s="219"/>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25"/>
      <c r="L14" s="626"/>
      <c r="M14" s="570"/>
      <c r="N14" s="219"/>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25"/>
      <c r="L15" s="626"/>
      <c r="M15" s="219"/>
      <c r="N15" s="821"/>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25"/>
      <c r="L16" s="626"/>
      <c r="M16" s="570"/>
      <c r="N16" s="221"/>
      <c r="O16" s="221"/>
      <c r="P16" s="221"/>
      <c r="Q16" s="221"/>
    </row>
    <row r="18" spans="8:15" x14ac:dyDescent="0.25">
      <c r="H18" s="216" t="s">
        <v>341</v>
      </c>
    </row>
    <row r="20" spans="8:15" x14ac:dyDescent="0.25">
      <c r="N20" s="216">
        <v>932.36</v>
      </c>
    </row>
    <row r="21" spans="8:15" x14ac:dyDescent="0.25">
      <c r="N21" s="216">
        <v>966.49</v>
      </c>
    </row>
    <row r="22" spans="8:15" x14ac:dyDescent="0.25">
      <c r="N22" s="216">
        <v>965.74</v>
      </c>
      <c r="O22" s="216" t="s">
        <v>299</v>
      </c>
    </row>
    <row r="47" spans="2:12" x14ac:dyDescent="0.25">
      <c r="B47" s="222"/>
      <c r="L47" s="222"/>
    </row>
    <row r="49" spans="2:12" x14ac:dyDescent="0.25">
      <c r="B49" s="222"/>
      <c r="L49" s="222"/>
    </row>
    <row r="50" spans="2:12" x14ac:dyDescent="0.25">
      <c r="C50" s="222"/>
    </row>
    <row r="52" spans="2:12" x14ac:dyDescent="0.25">
      <c r="F52" s="222" t="s">
        <v>334</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70" t="s">
        <v>289</v>
      </c>
      <c r="C2" s="870"/>
      <c r="D2" s="870"/>
      <c r="E2" s="870"/>
      <c r="F2" s="870"/>
      <c r="G2" s="870"/>
      <c r="H2" s="870"/>
      <c r="I2" s="870"/>
      <c r="J2" s="870"/>
      <c r="K2" s="870"/>
    </row>
    <row r="3" spans="2:12" ht="13.5" thickBot="1" x14ac:dyDescent="0.25"/>
    <row r="4" spans="2:12" ht="21" customHeight="1" x14ac:dyDescent="0.3">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72" t="s">
        <v>285</v>
      </c>
      <c r="C3" s="872"/>
      <c r="D3" s="872"/>
      <c r="E3" s="872"/>
      <c r="F3" s="872"/>
      <c r="G3" s="872"/>
      <c r="H3" s="872"/>
      <c r="I3" s="872"/>
      <c r="J3" s="872"/>
      <c r="K3" s="872"/>
    </row>
    <row r="4" spans="2:12" ht="13.5" thickBot="1" x14ac:dyDescent="0.25"/>
    <row r="5" spans="2:12" ht="24.95" customHeight="1" x14ac:dyDescent="0.2">
      <c r="B5" s="72" t="s">
        <v>1</v>
      </c>
      <c r="C5" s="73" t="s">
        <v>128</v>
      </c>
      <c r="D5" s="73" t="s">
        <v>130</v>
      </c>
      <c r="E5" s="73" t="s">
        <v>150</v>
      </c>
      <c r="F5" s="81">
        <v>2015</v>
      </c>
      <c r="G5" s="81">
        <v>2016</v>
      </c>
      <c r="H5" s="515" t="s">
        <v>267</v>
      </c>
      <c r="I5" s="515" t="s">
        <v>268</v>
      </c>
      <c r="J5" s="515" t="s">
        <v>269</v>
      </c>
      <c r="K5" s="516" t="s">
        <v>284</v>
      </c>
      <c r="L5" s="516" t="s">
        <v>298</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topLeftCell="A13" workbookViewId="0">
      <selection activeCell="E17" sqref="E17"/>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73" t="s">
        <v>16</v>
      </c>
      <c r="B3" s="873"/>
      <c r="C3" s="873"/>
      <c r="D3" s="873"/>
      <c r="E3" s="873"/>
      <c r="F3" s="873"/>
      <c r="G3" s="873"/>
      <c r="H3" s="873"/>
      <c r="I3" s="873"/>
    </row>
    <row r="4" spans="1:14" ht="21" x14ac:dyDescent="0.2">
      <c r="A4" s="873" t="s">
        <v>17</v>
      </c>
      <c r="B4" s="873"/>
      <c r="C4" s="873"/>
      <c r="D4" s="873"/>
      <c r="E4" s="873"/>
      <c r="F4" s="873"/>
      <c r="G4" s="873"/>
      <c r="H4" s="873"/>
      <c r="I4" s="873"/>
    </row>
    <row r="5" spans="1:14" ht="21" x14ac:dyDescent="0.35">
      <c r="A5" s="874" t="str">
        <f>+UTAMA!B4</f>
        <v xml:space="preserve">MINGGU KE IV FEBRUARI ( 22 FEBRUARI S/D 28 FEBRUARI 2022 ) dalam Juta m3  </v>
      </c>
      <c r="B5" s="874"/>
      <c r="C5" s="874"/>
      <c r="D5" s="874"/>
      <c r="E5" s="874"/>
      <c r="F5" s="874"/>
      <c r="G5" s="874"/>
      <c r="H5" s="874"/>
      <c r="I5" s="874"/>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338.7</v>
      </c>
      <c r="F11" s="90">
        <f>+UTAMA!H12</f>
        <v>7.0949999999999998</v>
      </c>
      <c r="G11" s="87">
        <f>+UTAMA!I12</f>
        <v>339.07</v>
      </c>
      <c r="H11" s="90">
        <f>+UTAMA!J12</f>
        <v>7.41</v>
      </c>
      <c r="I11" s="91">
        <v>35162</v>
      </c>
      <c r="K11" s="128"/>
      <c r="L11" s="128"/>
      <c r="M11" s="128"/>
      <c r="N11" s="92"/>
    </row>
    <row r="12" spans="1:14" ht="15.75" x14ac:dyDescent="0.25">
      <c r="A12" s="129">
        <f>+A11+1</f>
        <v>2</v>
      </c>
      <c r="B12" s="130" t="s">
        <v>29</v>
      </c>
      <c r="C12" s="93">
        <f>+UTAMA!E13</f>
        <v>77.5</v>
      </c>
      <c r="D12" s="94">
        <f>+UTAMA!F13</f>
        <v>45.13</v>
      </c>
      <c r="E12" s="95">
        <f>+UTAMA!G13</f>
        <v>74.11</v>
      </c>
      <c r="F12" s="94">
        <f>+UTAMA!H13</f>
        <v>29.640999999999998</v>
      </c>
      <c r="G12" s="93">
        <f>+UTAMA!I13</f>
        <v>77.67</v>
      </c>
      <c r="H12" s="94">
        <f>+UTAMA!J13</f>
        <v>50.14</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55.73</v>
      </c>
      <c r="F13" s="94">
        <f>+UTAMA!H11</f>
        <v>30.887121</v>
      </c>
      <c r="G13" s="93">
        <f>+UTAMA!I11</f>
        <v>55.38</v>
      </c>
      <c r="H13" s="94">
        <f>+UTAMA!J11</f>
        <v>28.911000000000001</v>
      </c>
      <c r="I13" s="96">
        <v>17481</v>
      </c>
      <c r="K13" s="128"/>
      <c r="L13" s="128"/>
      <c r="M13" s="128"/>
      <c r="N13" s="92"/>
    </row>
    <row r="14" spans="1:14" ht="15.75" x14ac:dyDescent="0.25">
      <c r="A14" s="129">
        <f t="shared" si="0"/>
        <v>4</v>
      </c>
      <c r="B14" s="130" t="s">
        <v>31</v>
      </c>
      <c r="C14" s="93">
        <f>+UTAMA!E14</f>
        <v>463.3</v>
      </c>
      <c r="D14" s="94">
        <f>+UTAMA!F14</f>
        <v>49.9</v>
      </c>
      <c r="E14" s="97">
        <f>+UTAMA!H14</f>
        <v>35.720999999999997</v>
      </c>
      <c r="F14" s="94">
        <f>+UTAMA!H14</f>
        <v>35.720999999999997</v>
      </c>
      <c r="G14" s="93">
        <f>+UTAMA!I14</f>
        <v>462.5</v>
      </c>
      <c r="H14" s="94">
        <f>+UTAMA!J14</f>
        <v>37.793999999999997</v>
      </c>
      <c r="I14" s="96">
        <v>19972</v>
      </c>
      <c r="K14" s="128"/>
      <c r="L14" s="128"/>
      <c r="M14" s="128"/>
      <c r="N14" s="92"/>
    </row>
    <row r="15" spans="1:14" ht="15.75" x14ac:dyDescent="0.25">
      <c r="A15" s="129">
        <f t="shared" si="0"/>
        <v>5</v>
      </c>
      <c r="B15" s="130" t="s">
        <v>32</v>
      </c>
      <c r="C15" s="93">
        <f>+UTAMA!E15</f>
        <v>207</v>
      </c>
      <c r="D15" s="94">
        <f>+UTAMA!F15</f>
        <v>9.5030000000000001</v>
      </c>
      <c r="E15" s="97">
        <f>+UTAMA!H15</f>
        <v>7.3540000000000001</v>
      </c>
      <c r="F15" s="94">
        <f>+UTAMA!H15</f>
        <v>7.3540000000000001</v>
      </c>
      <c r="G15" s="93">
        <f>+UTAMA!I15</f>
        <v>206.3</v>
      </c>
      <c r="H15" s="94">
        <f>+UTAMA!J15</f>
        <v>8.67</v>
      </c>
      <c r="I15" s="96">
        <v>4959</v>
      </c>
      <c r="K15" s="128"/>
      <c r="L15" s="128"/>
      <c r="M15" s="128"/>
      <c r="N15" s="92"/>
    </row>
    <row r="16" spans="1:14" ht="15.75" x14ac:dyDescent="0.25">
      <c r="A16" s="129">
        <f t="shared" si="0"/>
        <v>6</v>
      </c>
      <c r="B16" s="130" t="s">
        <v>33</v>
      </c>
      <c r="C16" s="93">
        <f>+UTAMA!E16</f>
        <v>320</v>
      </c>
      <c r="D16" s="94">
        <f>+UTAMA!F16</f>
        <v>5.1509999999999998</v>
      </c>
      <c r="E16" s="97">
        <f>+UTAMA!H16</f>
        <v>3.4660000000000002</v>
      </c>
      <c r="F16" s="94">
        <f>+UTAMA!H16</f>
        <v>3.4660000000000002</v>
      </c>
      <c r="G16" s="93">
        <f>+UTAMA!I16</f>
        <v>317.35000000000002</v>
      </c>
      <c r="H16" s="94">
        <f>+UTAMA!J16</f>
        <v>3.9460000000000002</v>
      </c>
      <c r="I16" s="96">
        <v>6052</v>
      </c>
      <c r="K16" s="128"/>
      <c r="L16" s="128"/>
      <c r="M16" s="128"/>
      <c r="N16" s="92"/>
    </row>
    <row r="17" spans="1:14" ht="15.75" x14ac:dyDescent="0.25">
      <c r="A17" s="129">
        <f t="shared" si="0"/>
        <v>7</v>
      </c>
      <c r="B17" s="130" t="s">
        <v>34</v>
      </c>
      <c r="C17" s="93">
        <f>+UTAMA!E17</f>
        <v>90</v>
      </c>
      <c r="D17" s="94">
        <f>+UTAMA!F17</f>
        <v>689.09100000000001</v>
      </c>
      <c r="E17" s="97">
        <f>+UTAMA!G17</f>
        <v>85.14</v>
      </c>
      <c r="F17" s="94">
        <f>+UTAMA!H17</f>
        <v>466.26100000000002</v>
      </c>
      <c r="G17" s="93">
        <f>+UTAMA!I17</f>
        <v>88.6</v>
      </c>
      <c r="H17" s="94">
        <f>+UTAMA!J17</f>
        <v>615.56799999999998</v>
      </c>
      <c r="I17" s="98">
        <v>59645</v>
      </c>
      <c r="K17" s="128"/>
      <c r="L17" s="128"/>
      <c r="M17" s="128"/>
      <c r="N17" s="99"/>
    </row>
    <row r="18" spans="1:14" ht="15.75" x14ac:dyDescent="0.25">
      <c r="A18" s="129">
        <f t="shared" si="0"/>
        <v>8</v>
      </c>
      <c r="B18" s="130" t="s">
        <v>35</v>
      </c>
      <c r="C18" s="93">
        <f>+UTAMA!E18</f>
        <v>120.5</v>
      </c>
      <c r="D18" s="94">
        <f>+UTAMA!F18</f>
        <v>2.0920000000000001</v>
      </c>
      <c r="E18" s="97">
        <f>+UTAMA!G18</f>
        <v>118.44</v>
      </c>
      <c r="F18" s="94">
        <f>+UTAMA!H18</f>
        <v>1.232</v>
      </c>
      <c r="G18" s="93">
        <f>+UTAMA!I18</f>
        <v>117.4</v>
      </c>
      <c r="H18" s="94">
        <f>+UTAMA!J18</f>
        <v>0.66900000000000004</v>
      </c>
      <c r="I18" s="100">
        <v>923</v>
      </c>
      <c r="K18" s="128"/>
      <c r="L18" s="128"/>
      <c r="M18" s="131"/>
      <c r="N18" s="99"/>
    </row>
    <row r="19" spans="1:14" ht="15.75" x14ac:dyDescent="0.25">
      <c r="A19" s="129">
        <f t="shared" si="0"/>
        <v>9</v>
      </c>
      <c r="B19" s="130" t="s">
        <v>36</v>
      </c>
      <c r="C19" s="93">
        <f>+UTAMA!E19</f>
        <v>120.8</v>
      </c>
      <c r="D19" s="94">
        <f>+UTAMA!F19</f>
        <v>2.3530000000000002</v>
      </c>
      <c r="E19" s="97">
        <f>+UTAMA!G19</f>
        <v>115.88</v>
      </c>
      <c r="F19" s="94">
        <f>+UTAMA!H19</f>
        <v>0.96199999999999997</v>
      </c>
      <c r="G19" s="93">
        <f>+UTAMA!I19</f>
        <v>116.33</v>
      </c>
      <c r="H19" s="94">
        <f>+UTAMA!J19</f>
        <v>0.314</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1.9059999999999999</v>
      </c>
      <c r="G20" s="93">
        <f>+UTAMA!I20</f>
        <v>42.63</v>
      </c>
      <c r="H20" s="94">
        <f>+UTAMA!J20</f>
        <v>1.536</v>
      </c>
      <c r="I20" s="102">
        <v>440</v>
      </c>
      <c r="K20" s="128"/>
      <c r="L20" s="128"/>
      <c r="M20" s="131"/>
      <c r="N20" s="99"/>
    </row>
    <row r="21" spans="1:14" ht="15.75" x14ac:dyDescent="0.25">
      <c r="A21" s="129">
        <f t="shared" si="0"/>
        <v>11</v>
      </c>
      <c r="B21" s="130" t="s">
        <v>39</v>
      </c>
      <c r="C21" s="93">
        <f>+UTAMA!E21</f>
        <v>51.5</v>
      </c>
      <c r="D21" s="94">
        <f>+UTAMA!F21</f>
        <v>2.4159999999999999</v>
      </c>
      <c r="E21" s="97">
        <f>+UTAMA!G21</f>
        <v>48.52</v>
      </c>
      <c r="F21" s="94">
        <f>+UTAMA!H21</f>
        <v>1.4239999999999999</v>
      </c>
      <c r="G21" s="93">
        <f>+UTAMA!I21</f>
        <v>49.65</v>
      </c>
      <c r="H21" s="94">
        <f>+UTAMA!J21</f>
        <v>1.796</v>
      </c>
      <c r="I21" s="102">
        <v>775</v>
      </c>
      <c r="K21" s="128"/>
      <c r="L21" s="128"/>
      <c r="M21" s="131"/>
      <c r="N21" s="99"/>
    </row>
    <row r="22" spans="1:14" ht="15.75" x14ac:dyDescent="0.25">
      <c r="A22" s="129">
        <f t="shared" si="0"/>
        <v>12</v>
      </c>
      <c r="B22" s="130" t="s">
        <v>40</v>
      </c>
      <c r="C22" s="93">
        <f>+UTAMA!E22</f>
        <v>81</v>
      </c>
      <c r="D22" s="94">
        <f>+UTAMA!F22</f>
        <v>1.093</v>
      </c>
      <c r="E22" s="97">
        <f>+UTAMA!G22</f>
        <v>79.91</v>
      </c>
      <c r="F22" s="94">
        <f>+UTAMA!H22</f>
        <v>0.745</v>
      </c>
      <c r="G22" s="93">
        <f>+UTAMA!I22</f>
        <v>78.260000000000005</v>
      </c>
      <c r="H22" s="94">
        <f>+UTAMA!J22</f>
        <v>0.79800000000000004</v>
      </c>
      <c r="I22" s="98">
        <v>750</v>
      </c>
      <c r="K22" s="128"/>
      <c r="L22" s="128"/>
      <c r="M22" s="131"/>
      <c r="N22" s="99"/>
    </row>
    <row r="23" spans="1:14" ht="15.75" x14ac:dyDescent="0.25">
      <c r="A23" s="129">
        <f t="shared" si="0"/>
        <v>13</v>
      </c>
      <c r="B23" s="130" t="s">
        <v>41</v>
      </c>
      <c r="C23" s="93">
        <f>+UTAMA!E23</f>
        <v>82.8</v>
      </c>
      <c r="D23" s="94">
        <f>+UTAMA!F23</f>
        <v>0.42899999999999999</v>
      </c>
      <c r="E23" s="101">
        <f>+UTAMA!G23</f>
        <v>81.96</v>
      </c>
      <c r="F23" s="94">
        <f>+UTAMA!H23</f>
        <v>0.30299999999999999</v>
      </c>
      <c r="G23" s="93">
        <f>+UTAMA!I23</f>
        <v>81.31</v>
      </c>
      <c r="H23" s="94">
        <f>+UTAMA!J23</f>
        <v>4.7E-2</v>
      </c>
      <c r="I23" s="98">
        <v>482</v>
      </c>
      <c r="K23" s="128"/>
      <c r="L23" s="128"/>
      <c r="M23" s="128"/>
      <c r="N23" s="99"/>
    </row>
    <row r="24" spans="1:14" ht="15.75" x14ac:dyDescent="0.25">
      <c r="A24" s="129">
        <f t="shared" si="0"/>
        <v>14</v>
      </c>
      <c r="B24" s="130" t="s">
        <v>42</v>
      </c>
      <c r="C24" s="93">
        <f>+UTAMA!E24</f>
        <v>69.95</v>
      </c>
      <c r="D24" s="94">
        <f>+UTAMA!F24</f>
        <v>0.25</v>
      </c>
      <c r="E24" s="101">
        <f>+UTAMA!G24</f>
        <v>69.47</v>
      </c>
      <c r="F24" s="94">
        <f>+UTAMA!H24</f>
        <v>0.17599999999999999</v>
      </c>
      <c r="G24" s="93">
        <f>+UTAMA!I24</f>
        <v>63.67</v>
      </c>
      <c r="H24" s="94">
        <f>+UTAMA!J24</f>
        <v>0.21299999999999999</v>
      </c>
      <c r="I24" s="98">
        <v>366</v>
      </c>
      <c r="K24" s="128"/>
      <c r="L24" s="128"/>
      <c r="M24" s="128"/>
      <c r="N24" s="103"/>
    </row>
    <row r="25" spans="1:14" ht="15.75" x14ac:dyDescent="0.25">
      <c r="A25" s="129">
        <f t="shared" si="0"/>
        <v>15</v>
      </c>
      <c r="B25" s="130" t="s">
        <v>43</v>
      </c>
      <c r="C25" s="93">
        <f>+UTAMA!E25</f>
        <v>48.2</v>
      </c>
      <c r="D25" s="94">
        <f>+UTAMA!F25</f>
        <v>0.38500000000000001</v>
      </c>
      <c r="E25" s="97">
        <f>+UTAMA!G25</f>
        <v>45.8</v>
      </c>
      <c r="F25" s="94">
        <f>+UTAMA!H25</f>
        <v>8.4000000000000005E-2</v>
      </c>
      <c r="G25" s="93">
        <f>+UTAMA!I25</f>
        <v>47</v>
      </c>
      <c r="H25" s="94">
        <f>+UTAMA!J25</f>
        <v>0.39700000000000002</v>
      </c>
      <c r="I25" s="102">
        <v>260</v>
      </c>
      <c r="K25" s="128"/>
      <c r="L25" s="128"/>
      <c r="M25" s="128"/>
      <c r="N25" s="99"/>
    </row>
    <row r="26" spans="1:14" ht="15.75" x14ac:dyDescent="0.25">
      <c r="A26" s="129">
        <f t="shared" si="0"/>
        <v>16</v>
      </c>
      <c r="B26" s="130" t="s">
        <v>44</v>
      </c>
      <c r="C26" s="93">
        <f>+UTAMA!E26</f>
        <v>136</v>
      </c>
      <c r="D26" s="94">
        <f>+UTAMA!F26</f>
        <v>398.69</v>
      </c>
      <c r="E26" s="97">
        <f>+UTAMA!G26</f>
        <v>132.91999999999999</v>
      </c>
      <c r="F26" s="94">
        <f>+UTAMA!H26</f>
        <v>211.166</v>
      </c>
      <c r="G26" s="93">
        <f>+UTAMA!I26</f>
        <v>132.63999999999999</v>
      </c>
      <c r="H26" s="94">
        <f>+UTAMA!J26</f>
        <v>204.35</v>
      </c>
      <c r="I26" s="98">
        <v>28109</v>
      </c>
      <c r="K26" s="128"/>
      <c r="L26" s="128"/>
      <c r="M26" s="128"/>
      <c r="N26" s="104"/>
    </row>
    <row r="27" spans="1:14" ht="15.75" x14ac:dyDescent="0.25">
      <c r="A27" s="129">
        <f t="shared" si="0"/>
        <v>17</v>
      </c>
      <c r="B27" s="130" t="s">
        <v>45</v>
      </c>
      <c r="C27" s="93">
        <f>+UTAMA!E27</f>
        <v>113.5</v>
      </c>
      <c r="D27" s="94">
        <f>+UTAMA!F27</f>
        <v>2.3410000000000002</v>
      </c>
      <c r="E27" s="97">
        <f>+UTAMA!G27</f>
        <v>113</v>
      </c>
      <c r="F27" s="94">
        <f>+UTAMA!H27</f>
        <v>2.1120000000000001</v>
      </c>
      <c r="G27" s="93">
        <f>+UTAMA!I27</f>
        <v>112.09</v>
      </c>
      <c r="H27" s="94">
        <f>+UTAMA!J27</f>
        <v>1.7237</v>
      </c>
      <c r="I27" s="98">
        <v>874</v>
      </c>
      <c r="K27" s="128"/>
      <c r="L27" s="128"/>
      <c r="M27" s="128"/>
      <c r="N27" s="104"/>
    </row>
    <row r="28" spans="1:14" ht="15.75" x14ac:dyDescent="0.25">
      <c r="A28" s="129">
        <f t="shared" si="0"/>
        <v>18</v>
      </c>
      <c r="B28" s="130" t="s">
        <v>46</v>
      </c>
      <c r="C28" s="93">
        <f>+UTAMA!E28</f>
        <v>225.4</v>
      </c>
      <c r="D28" s="94">
        <f>+UTAMA!F28</f>
        <v>0.32300000000000001</v>
      </c>
      <c r="E28" s="97">
        <f>+UTAMA!G28</f>
        <v>203.5</v>
      </c>
      <c r="F28" s="94">
        <f>+UTAMA!H28</f>
        <v>0.27300000000000002</v>
      </c>
      <c r="G28" s="93">
        <f>+UTAMA!I28</f>
        <v>201.8</v>
      </c>
      <c r="H28" s="94">
        <f>+UTAMA!J28</f>
        <v>0.1249</v>
      </c>
      <c r="I28" s="102">
        <v>392</v>
      </c>
      <c r="K28" s="128"/>
      <c r="L28" s="128"/>
      <c r="M28" s="128"/>
      <c r="N28" s="99"/>
    </row>
    <row r="29" spans="1:14" ht="15.75" x14ac:dyDescent="0.25">
      <c r="A29" s="129">
        <f t="shared" si="0"/>
        <v>19</v>
      </c>
      <c r="B29" s="130" t="s">
        <v>47</v>
      </c>
      <c r="C29" s="93">
        <f>+UTAMA!E29</f>
        <v>224</v>
      </c>
      <c r="D29" s="94">
        <f>+UTAMA!F29</f>
        <v>0.42899999999999999</v>
      </c>
      <c r="E29" s="97">
        <f>+UTAMA!G29</f>
        <v>223.53</v>
      </c>
      <c r="F29" s="94">
        <f>+UTAMA!H29</f>
        <v>0.38400000000000001</v>
      </c>
      <c r="G29" s="93">
        <f>+UTAMA!I29</f>
        <v>221.52</v>
      </c>
      <c r="H29" s="94">
        <f>+UTAMA!J29</f>
        <v>0.2392</v>
      </c>
      <c r="I29" s="102">
        <v>500</v>
      </c>
      <c r="K29" s="128"/>
      <c r="L29" s="128"/>
      <c r="M29" s="128"/>
      <c r="N29" s="99"/>
    </row>
    <row r="30" spans="1:14" ht="15.75" x14ac:dyDescent="0.25">
      <c r="A30" s="129">
        <f t="shared" si="0"/>
        <v>20</v>
      </c>
      <c r="B30" s="130" t="s">
        <v>48</v>
      </c>
      <c r="C30" s="93">
        <f>+UTAMA!E30</f>
        <v>196</v>
      </c>
      <c r="D30" s="94">
        <f>+UTAMA!F30</f>
        <v>0.77100000000000002</v>
      </c>
      <c r="E30" s="97">
        <f>+UTAMA!G30</f>
        <v>195.5</v>
      </c>
      <c r="F30" s="94">
        <f>+UTAMA!H30</f>
        <v>0.67500000000000004</v>
      </c>
      <c r="G30" s="93">
        <f>+UTAMA!I30</f>
        <v>196.05</v>
      </c>
      <c r="H30" s="94">
        <f>+UTAMA!J30</f>
        <v>0.78080000000000005</v>
      </c>
      <c r="I30" s="102">
        <v>700</v>
      </c>
      <c r="K30" s="128"/>
      <c r="L30" s="128"/>
      <c r="M30" s="128"/>
      <c r="N30" s="99"/>
    </row>
    <row r="31" spans="1:14" ht="15.75" x14ac:dyDescent="0.25">
      <c r="A31" s="129">
        <f t="shared" si="0"/>
        <v>21</v>
      </c>
      <c r="B31" s="130" t="s">
        <v>49</v>
      </c>
      <c r="C31" s="93">
        <f>+UTAMA!E31</f>
        <v>174</v>
      </c>
      <c r="D31" s="94">
        <f>+UTAMA!F31</f>
        <v>0.22600000000000001</v>
      </c>
      <c r="E31" s="101">
        <f>+UTAMA!G31</f>
        <v>170.57</v>
      </c>
      <c r="F31" s="94">
        <f>+UTAMA!H31</f>
        <v>0.16300000000000001</v>
      </c>
      <c r="G31" s="93">
        <f>+UTAMA!I31</f>
        <v>168.47</v>
      </c>
      <c r="H31" s="94">
        <f>+UTAMA!J31</f>
        <v>5.7000000000000002E-2</v>
      </c>
      <c r="I31" s="102">
        <v>87</v>
      </c>
      <c r="K31" s="128"/>
      <c r="L31" s="128"/>
      <c r="M31" s="128"/>
      <c r="N31" s="104"/>
    </row>
    <row r="32" spans="1:14" ht="15.75" x14ac:dyDescent="0.25">
      <c r="A32" s="129">
        <f t="shared" si="0"/>
        <v>22</v>
      </c>
      <c r="B32" s="130" t="s">
        <v>50</v>
      </c>
      <c r="C32" s="93">
        <f>+UTAMA!E32</f>
        <v>229.1</v>
      </c>
      <c r="D32" s="94">
        <f>+UTAMA!F32</f>
        <v>0.71399999999999997</v>
      </c>
      <c r="E32" s="97">
        <f>+UTAMA!G32</f>
        <v>226.6</v>
      </c>
      <c r="F32" s="94">
        <f>+UTAMA!H32</f>
        <v>0.49199999999999999</v>
      </c>
      <c r="G32" s="93">
        <f>+UTAMA!I32</f>
        <v>226.12</v>
      </c>
      <c r="H32" s="94">
        <f>+UTAMA!J32</f>
        <v>0.45069999999999999</v>
      </c>
      <c r="I32" s="100">
        <v>354</v>
      </c>
      <c r="K32" s="128"/>
      <c r="L32" s="128"/>
      <c r="M32" s="128"/>
      <c r="N32" s="99"/>
    </row>
    <row r="33" spans="1:14" ht="15.75" x14ac:dyDescent="0.25">
      <c r="A33" s="129">
        <f t="shared" si="0"/>
        <v>23</v>
      </c>
      <c r="B33" s="130" t="s">
        <v>51</v>
      </c>
      <c r="C33" s="93">
        <f>+UTAMA!E33</f>
        <v>249</v>
      </c>
      <c r="D33" s="94">
        <f>+UTAMA!F33</f>
        <v>1.708</v>
      </c>
      <c r="E33" s="97">
        <f>+UTAMA!G33</f>
        <v>248.7</v>
      </c>
      <c r="F33" s="94">
        <f>+UTAMA!H33</f>
        <v>1.708</v>
      </c>
      <c r="G33" s="93">
        <f>+UTAMA!I33</f>
        <v>247.9</v>
      </c>
      <c r="H33" s="94">
        <f>+UTAMA!J33</f>
        <v>1.4849000000000001</v>
      </c>
      <c r="I33" s="102">
        <v>637</v>
      </c>
      <c r="K33" s="128"/>
      <c r="L33" s="128"/>
      <c r="M33" s="128"/>
      <c r="N33" s="99"/>
    </row>
    <row r="34" spans="1:14" ht="15.75" x14ac:dyDescent="0.25">
      <c r="A34" s="129">
        <f t="shared" si="0"/>
        <v>24</v>
      </c>
      <c r="B34" s="130" t="s">
        <v>52</v>
      </c>
      <c r="C34" s="93">
        <f>+UTAMA!E34</f>
        <v>164.75</v>
      </c>
      <c r="D34" s="94">
        <f>+UTAMA!F34</f>
        <v>4.3979999999999997</v>
      </c>
      <c r="E34" s="97">
        <f>+UTAMA!G34</f>
        <v>140</v>
      </c>
      <c r="F34" s="94">
        <f>+UTAMA!H34</f>
        <v>0</v>
      </c>
      <c r="G34" s="93">
        <f>+UTAMA!I34</f>
        <v>140</v>
      </c>
      <c r="H34" s="94">
        <f>+UTAMA!J34</f>
        <v>0</v>
      </c>
      <c r="I34" s="102">
        <v>7394</v>
      </c>
      <c r="K34" s="128"/>
      <c r="L34" s="128"/>
      <c r="M34" s="128"/>
      <c r="N34" s="104"/>
    </row>
    <row r="35" spans="1:14" ht="15.75" x14ac:dyDescent="0.25">
      <c r="A35" s="129">
        <f t="shared" si="0"/>
        <v>25</v>
      </c>
      <c r="B35" s="130" t="s">
        <v>53</v>
      </c>
      <c r="C35" s="93">
        <f>+UTAMA!E35</f>
        <v>179.1</v>
      </c>
      <c r="D35" s="94">
        <f>+UTAMA!F35</f>
        <v>3.3109999999999999</v>
      </c>
      <c r="E35" s="105">
        <f>+UTAMA!G35</f>
        <v>204.56</v>
      </c>
      <c r="F35" s="94">
        <f>+UTAMA!H35</f>
        <v>3.052</v>
      </c>
      <c r="G35" s="93">
        <f>+UTAMA!I35</f>
        <v>204.16</v>
      </c>
      <c r="H35" s="94">
        <f>+UTAMA!J35</f>
        <v>2.8117999999999999</v>
      </c>
      <c r="I35" s="102">
        <v>2410</v>
      </c>
      <c r="K35" s="128"/>
      <c r="L35" s="128"/>
      <c r="M35" s="128"/>
      <c r="N35" s="104"/>
    </row>
    <row r="36" spans="1:14" ht="15.75" x14ac:dyDescent="0.25">
      <c r="A36" s="129">
        <f t="shared" si="0"/>
        <v>26</v>
      </c>
      <c r="B36" s="130" t="s">
        <v>54</v>
      </c>
      <c r="C36" s="93">
        <f>+UTAMA!E36</f>
        <v>325.56</v>
      </c>
      <c r="D36" s="94">
        <f>+UTAMA!F36</f>
        <v>0.64100000000000001</v>
      </c>
      <c r="E36" s="105">
        <f>+UTAMA!G36</f>
        <v>325.5</v>
      </c>
      <c r="F36" s="94">
        <f>+UTAMA!H36</f>
        <v>0.69599999999999995</v>
      </c>
      <c r="G36" s="93">
        <f>+UTAMA!I36</f>
        <v>325.2</v>
      </c>
      <c r="H36" s="94">
        <f>+UTAMA!J36</f>
        <v>0.66800000000000004</v>
      </c>
      <c r="I36" s="102">
        <v>1370</v>
      </c>
      <c r="K36" s="128"/>
      <c r="L36" s="128"/>
      <c r="M36" s="128"/>
      <c r="N36" s="104"/>
    </row>
    <row r="37" spans="1:14" ht="15.75" x14ac:dyDescent="0.25">
      <c r="A37" s="129">
        <f t="shared" si="0"/>
        <v>27</v>
      </c>
      <c r="B37" s="130" t="s">
        <v>55</v>
      </c>
      <c r="C37" s="93">
        <f>+UTAMA!E37</f>
        <v>129.19999999999999</v>
      </c>
      <c r="D37" s="94">
        <f>+UTAMA!F37</f>
        <v>0.71</v>
      </c>
      <c r="E37" s="105">
        <f>+UTAMA!G37</f>
        <v>129.19999999999999</v>
      </c>
      <c r="F37" s="94">
        <f>+UTAMA!H37</f>
        <v>0.71</v>
      </c>
      <c r="G37" s="93">
        <f>+UTAMA!I37</f>
        <v>128.81</v>
      </c>
      <c r="H37" s="94">
        <f>+UTAMA!J37</f>
        <v>0.65710000000000002</v>
      </c>
      <c r="I37" s="102">
        <v>358</v>
      </c>
      <c r="K37" s="128"/>
      <c r="L37" s="128"/>
      <c r="M37" s="128"/>
      <c r="N37" s="104"/>
    </row>
    <row r="38" spans="1:14" ht="15.75" x14ac:dyDescent="0.25">
      <c r="A38" s="129">
        <f t="shared" si="0"/>
        <v>28</v>
      </c>
      <c r="B38" s="130" t="s">
        <v>56</v>
      </c>
      <c r="C38" s="93">
        <f>+UTAMA!E38</f>
        <v>282.77999999999997</v>
      </c>
      <c r="D38" s="94">
        <f>+UTAMA!F38</f>
        <v>0.48</v>
      </c>
      <c r="E38" s="105">
        <f>+UTAMA!G38</f>
        <v>282.95999999999998</v>
      </c>
      <c r="F38" s="94">
        <f>+UTAMA!H38</f>
        <v>0.48</v>
      </c>
      <c r="G38" s="93">
        <f>+UTAMA!I38</f>
        <v>283.02999999999997</v>
      </c>
      <c r="H38" s="94">
        <f>+UTAMA!J38</f>
        <v>0.48499999999999999</v>
      </c>
      <c r="I38" s="102">
        <v>268</v>
      </c>
      <c r="K38" s="128"/>
      <c r="L38" s="128"/>
      <c r="M38" s="128"/>
      <c r="N38" s="103"/>
    </row>
    <row r="39" spans="1:14" ht="15.75" x14ac:dyDescent="0.25">
      <c r="A39" s="129">
        <f t="shared" si="0"/>
        <v>29</v>
      </c>
      <c r="B39" s="130" t="s">
        <v>57</v>
      </c>
      <c r="C39" s="93">
        <f>+UTAMA!E39</f>
        <v>99</v>
      </c>
      <c r="D39" s="94">
        <f>+UTAMA!F39</f>
        <v>2.8849999999999998</v>
      </c>
      <c r="E39" s="105">
        <f>+UTAMA!G39</f>
        <v>98.85</v>
      </c>
      <c r="F39" s="94">
        <f>+UTAMA!H39</f>
        <v>2.7770000000000001</v>
      </c>
      <c r="G39" s="93">
        <f>+UTAMA!I39</f>
        <v>98.92</v>
      </c>
      <c r="H39" s="94">
        <f>+UTAMA!J39</f>
        <v>2.8273000000000001</v>
      </c>
      <c r="I39" s="102">
        <v>892</v>
      </c>
      <c r="K39" s="128"/>
      <c r="L39" s="128"/>
      <c r="M39" s="128"/>
      <c r="N39" s="104"/>
    </row>
    <row r="40" spans="1:14" ht="15.75" x14ac:dyDescent="0.25">
      <c r="A40" s="129">
        <f t="shared" si="0"/>
        <v>30</v>
      </c>
      <c r="B40" s="130" t="s">
        <v>58</v>
      </c>
      <c r="C40" s="93">
        <f>+UTAMA!E40</f>
        <v>189.7</v>
      </c>
      <c r="D40" s="94">
        <f>+UTAMA!F40</f>
        <v>7.9000000000000001E-2</v>
      </c>
      <c r="E40" s="105">
        <f>+UTAMA!G40</f>
        <v>189.7</v>
      </c>
      <c r="F40" s="94">
        <f>+UTAMA!H40</f>
        <v>0.08</v>
      </c>
      <c r="G40" s="93">
        <f>+UTAMA!I40</f>
        <v>189.36</v>
      </c>
      <c r="H40" s="94">
        <f>+UTAMA!J40</f>
        <v>7.2599999999999998E-2</v>
      </c>
      <c r="I40" s="102">
        <v>274</v>
      </c>
      <c r="K40" s="128"/>
      <c r="L40" s="128"/>
      <c r="M40" s="128"/>
      <c r="N40" s="104"/>
    </row>
    <row r="41" spans="1:14" ht="15.75" x14ac:dyDescent="0.25">
      <c r="A41" s="129">
        <f t="shared" si="0"/>
        <v>31</v>
      </c>
      <c r="B41" s="130" t="s">
        <v>59</v>
      </c>
      <c r="C41" s="93">
        <f>+UTAMA!E41</f>
        <v>171.19</v>
      </c>
      <c r="D41" s="94">
        <f>+UTAMA!F41</f>
        <v>9.6000000000000002E-2</v>
      </c>
      <c r="E41" s="105">
        <f>+UTAMA!G41</f>
        <v>171.2</v>
      </c>
      <c r="F41" s="94">
        <f>+UTAMA!H41</f>
        <v>9.7000000000000003E-2</v>
      </c>
      <c r="G41" s="93">
        <f>+UTAMA!I41</f>
        <v>171.28</v>
      </c>
      <c r="H41" s="94">
        <f>+UTAMA!J41</f>
        <v>9.9099999999999994E-2</v>
      </c>
      <c r="I41" s="102">
        <v>395</v>
      </c>
      <c r="K41" s="128"/>
      <c r="L41" s="128"/>
      <c r="M41" s="128"/>
      <c r="N41" s="104"/>
    </row>
    <row r="42" spans="1:14" ht="15.75" x14ac:dyDescent="0.25">
      <c r="A42" s="129">
        <f t="shared" si="0"/>
        <v>32</v>
      </c>
      <c r="B42" s="130" t="s">
        <v>60</v>
      </c>
      <c r="C42" s="93">
        <f>+UTAMA!E42</f>
        <v>142.6</v>
      </c>
      <c r="D42" s="94">
        <f>+UTAMA!F42</f>
        <v>9.8740000000000006</v>
      </c>
      <c r="E42" s="105">
        <f>+UTAMA!G42</f>
        <v>140.30000000000001</v>
      </c>
      <c r="F42" s="94">
        <f>+UTAMA!H42</f>
        <v>9.1560000000000006</v>
      </c>
      <c r="G42" s="93">
        <f>+UTAMA!I42</f>
        <v>139.63</v>
      </c>
      <c r="H42" s="94">
        <f>+UTAMA!J42</f>
        <v>7.2649999999999997</v>
      </c>
      <c r="I42" s="98">
        <v>1570</v>
      </c>
      <c r="K42" s="128"/>
      <c r="L42" s="128"/>
      <c r="M42" s="128"/>
      <c r="N42" s="104"/>
    </row>
    <row r="43" spans="1:14" ht="15.75" x14ac:dyDescent="0.25">
      <c r="A43" s="129">
        <f t="shared" si="0"/>
        <v>33</v>
      </c>
      <c r="B43" s="130" t="s">
        <v>61</v>
      </c>
      <c r="C43" s="93">
        <f>+UTAMA!E43</f>
        <v>239.5</v>
      </c>
      <c r="D43" s="94">
        <f>+UTAMA!F43</f>
        <v>2.6720000000000002</v>
      </c>
      <c r="E43" s="105">
        <f>+UTAMA!G43</f>
        <v>239.7</v>
      </c>
      <c r="F43" s="94">
        <f>+UTAMA!H43</f>
        <v>2.8559999999999999</v>
      </c>
      <c r="G43" s="93">
        <f>+UTAMA!I43</f>
        <v>239.28</v>
      </c>
      <c r="H43" s="94">
        <f>+UTAMA!J43</f>
        <v>2.5903999999999998</v>
      </c>
      <c r="I43" s="98">
        <v>1353</v>
      </c>
      <c r="K43" s="128"/>
      <c r="L43" s="128"/>
      <c r="M43" s="128"/>
      <c r="N43" s="104"/>
    </row>
    <row r="44" spans="1:14" ht="15.75" x14ac:dyDescent="0.25">
      <c r="A44" s="129">
        <f t="shared" si="0"/>
        <v>34</v>
      </c>
      <c r="B44" s="130" t="s">
        <v>62</v>
      </c>
      <c r="C44" s="93">
        <f>+UTAMA!E44</f>
        <v>120.5</v>
      </c>
      <c r="D44" s="94">
        <f>+UTAMA!F44</f>
        <v>4.1539999999999999</v>
      </c>
      <c r="E44" s="105">
        <f>+UTAMA!G44</f>
        <v>120.75</v>
      </c>
      <c r="F44" s="94">
        <f>+UTAMA!H44</f>
        <v>4.1539999999999999</v>
      </c>
      <c r="G44" s="93">
        <f>+UTAMA!I44</f>
        <v>120.6</v>
      </c>
      <c r="H44" s="94">
        <f>+UTAMA!J44</f>
        <v>3.8681000000000001</v>
      </c>
      <c r="I44" s="102">
        <v>782</v>
      </c>
      <c r="K44" s="128"/>
      <c r="L44" s="128"/>
      <c r="M44" s="128"/>
      <c r="N44" s="104"/>
    </row>
    <row r="45" spans="1:14" ht="15.75" x14ac:dyDescent="0.25">
      <c r="A45" s="129">
        <f t="shared" si="0"/>
        <v>35</v>
      </c>
      <c r="B45" s="130" t="s">
        <v>63</v>
      </c>
      <c r="C45" s="93">
        <f>+UTAMA!E45</f>
        <v>110.56</v>
      </c>
      <c r="D45" s="94">
        <f>+UTAMA!F45</f>
        <v>2.75</v>
      </c>
      <c r="E45" s="105">
        <f>+UTAMA!G45</f>
        <v>110.36</v>
      </c>
      <c r="F45" s="94">
        <f>+UTAMA!H45</f>
        <v>2.371</v>
      </c>
      <c r="G45" s="93">
        <f>+UTAMA!I45</f>
        <v>110.53</v>
      </c>
      <c r="H45" s="94">
        <f>+UTAMA!J45</f>
        <v>2.6930999999999998</v>
      </c>
      <c r="I45" s="102">
        <v>43</v>
      </c>
      <c r="K45" s="128"/>
      <c r="L45" s="128"/>
      <c r="M45" s="128"/>
      <c r="N45" s="104"/>
    </row>
    <row r="46" spans="1:14" ht="15.75" x14ac:dyDescent="0.25">
      <c r="A46" s="129">
        <f t="shared" si="0"/>
        <v>36</v>
      </c>
      <c r="B46" s="130" t="s">
        <v>64</v>
      </c>
      <c r="C46" s="93">
        <f>+UTAMA!E46</f>
        <v>72</v>
      </c>
      <c r="D46" s="94">
        <f>+UTAMA!F46</f>
        <v>38.036000000000001</v>
      </c>
      <c r="E46" s="105">
        <f>+UTAMA!G46</f>
        <v>67.900000000000006</v>
      </c>
      <c r="F46" s="94">
        <f>+UTAMA!H46</f>
        <v>26.600999999999999</v>
      </c>
      <c r="G46" s="93">
        <f>+UTAMA!I46</f>
        <v>65.790000000000006</v>
      </c>
      <c r="H46" s="94">
        <f>+UTAMA!J46</f>
        <v>22.573</v>
      </c>
      <c r="I46" s="98">
        <v>6485</v>
      </c>
      <c r="K46" s="128"/>
      <c r="L46" s="128"/>
      <c r="M46" s="128"/>
      <c r="N46" s="104"/>
    </row>
    <row r="47" spans="1:14" ht="15.75" x14ac:dyDescent="0.25">
      <c r="A47" s="129">
        <f t="shared" si="0"/>
        <v>37</v>
      </c>
      <c r="B47" s="130" t="s">
        <v>65</v>
      </c>
      <c r="C47" s="93">
        <f>+UTAMA!E47</f>
        <v>185</v>
      </c>
      <c r="D47" s="94">
        <f>+UTAMA!F47</f>
        <v>388.72199999999998</v>
      </c>
      <c r="E47" s="105">
        <f>+UTAMA!G47</f>
        <v>171.1</v>
      </c>
      <c r="F47" s="94">
        <f>+UTAMA!H47</f>
        <v>253.61799999999999</v>
      </c>
      <c r="G47" s="93">
        <f>+UTAMA!I47</f>
        <v>175.32</v>
      </c>
      <c r="H47" s="94">
        <f>+UTAMA!J47</f>
        <v>293.041</v>
      </c>
      <c r="I47" s="98">
        <v>31109</v>
      </c>
      <c r="K47" s="128"/>
      <c r="L47" s="128"/>
      <c r="M47" s="128"/>
      <c r="N47" s="104"/>
    </row>
    <row r="48" spans="1:14" ht="16.5" thickBot="1" x14ac:dyDescent="0.3">
      <c r="A48" s="132">
        <f t="shared" si="0"/>
        <v>38</v>
      </c>
      <c r="B48" s="133" t="s">
        <v>66</v>
      </c>
      <c r="C48" s="93">
        <f>+UTAMA!E48</f>
        <v>231</v>
      </c>
      <c r="D48" s="94">
        <f>+UTAMA!F48</f>
        <v>23.24</v>
      </c>
      <c r="E48" s="105">
        <f>+UTAMA!G48</f>
        <v>229</v>
      </c>
      <c r="F48" s="94">
        <f>+UTAMA!H48</f>
        <v>5.181</v>
      </c>
      <c r="G48" s="93">
        <f>+UTAMA!I48</f>
        <v>229.59</v>
      </c>
      <c r="H48" s="94">
        <f>+UTAMA!J48</f>
        <v>8.0489999999999995</v>
      </c>
      <c r="I48" s="106">
        <v>8400</v>
      </c>
      <c r="K48" s="128"/>
      <c r="L48" s="128"/>
      <c r="M48" s="128"/>
      <c r="N48" s="99"/>
    </row>
    <row r="49" spans="1:14" ht="16.5" thickBot="1" x14ac:dyDescent="0.3">
      <c r="A49" s="134"/>
      <c r="B49" s="124" t="s">
        <v>67</v>
      </c>
      <c r="C49" s="107"/>
      <c r="D49" s="135">
        <f>SUM(D11:D48)</f>
        <v>1738.5575980000001</v>
      </c>
      <c r="E49" s="107"/>
      <c r="F49" s="135">
        <f>SUM(F11:F48)</f>
        <v>1116.0591209999998</v>
      </c>
      <c r="G49" s="107"/>
      <c r="H49" s="135">
        <f>SUM(H11:H48)</f>
        <v>1315.1206999999999</v>
      </c>
      <c r="I49" s="136">
        <f>SUM(I11:I48)</f>
        <v>270584</v>
      </c>
      <c r="K49" s="128"/>
      <c r="L49" s="128"/>
      <c r="M49" s="128"/>
      <c r="N49" s="99"/>
    </row>
    <row r="50" spans="1:14" ht="16.5" thickBot="1" x14ac:dyDescent="0.3">
      <c r="A50" s="137" t="s">
        <v>68</v>
      </c>
      <c r="B50" s="124" t="s">
        <v>69</v>
      </c>
      <c r="C50" s="107"/>
      <c r="D50" s="135"/>
      <c r="E50" s="138"/>
      <c r="F50" s="139">
        <v>1</v>
      </c>
      <c r="G50" s="107"/>
      <c r="H50" s="140">
        <f>+H49/F49</f>
        <v>1.1783611416764723</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E456"/>
  <sheetViews>
    <sheetView showGridLines="0" zoomScale="80" zoomScaleNormal="80" workbookViewId="0">
      <selection activeCell="B2" sqref="B2:L55"/>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346"/>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894" t="s">
        <v>273</v>
      </c>
      <c r="C2" s="894"/>
      <c r="D2" s="894"/>
      <c r="E2" s="894"/>
      <c r="F2" s="894"/>
      <c r="G2" s="894"/>
      <c r="H2" s="894"/>
      <c r="I2" s="894"/>
      <c r="J2" s="894"/>
      <c r="K2" s="894"/>
      <c r="L2" s="894"/>
      <c r="N2" s="922" t="s">
        <v>283</v>
      </c>
      <c r="O2" s="923"/>
      <c r="P2" s="923"/>
      <c r="Q2" s="923"/>
      <c r="R2" s="923"/>
      <c r="S2" s="923"/>
      <c r="T2" s="923"/>
      <c r="U2" s="923"/>
      <c r="V2" s="923"/>
      <c r="W2" s="923"/>
      <c r="X2" s="923"/>
      <c r="Y2" s="923"/>
      <c r="Z2" s="924"/>
      <c r="AB2" s="907" t="s">
        <v>295</v>
      </c>
      <c r="AC2" s="907"/>
      <c r="AD2" s="907"/>
      <c r="AE2" s="907"/>
      <c r="AF2" s="907"/>
      <c r="AG2" s="907"/>
      <c r="AH2" s="907"/>
      <c r="AI2" s="907"/>
      <c r="AJ2" s="907"/>
      <c r="AK2" s="907"/>
      <c r="AL2" s="907"/>
      <c r="AM2" s="907"/>
      <c r="AN2" s="907"/>
      <c r="AO2"/>
      <c r="AP2"/>
      <c r="AQ2" s="908"/>
      <c r="AR2" s="908"/>
      <c r="AS2" s="908"/>
      <c r="AT2"/>
      <c r="AU2"/>
      <c r="AV2"/>
      <c r="AW2"/>
      <c r="AX2"/>
      <c r="AY2"/>
      <c r="AZ2"/>
      <c r="BA2"/>
      <c r="BB2"/>
      <c r="BC2"/>
      <c r="BD2"/>
      <c r="BE2"/>
    </row>
    <row r="3" spans="2:57" ht="17.25" customHeight="1" x14ac:dyDescent="0.3">
      <c r="B3" s="894"/>
      <c r="C3" s="894"/>
      <c r="D3" s="894"/>
      <c r="E3" s="894"/>
      <c r="F3" s="894"/>
      <c r="G3" s="894"/>
      <c r="H3" s="894"/>
      <c r="I3" s="894"/>
      <c r="J3" s="894"/>
      <c r="K3" s="894"/>
      <c r="L3" s="894"/>
      <c r="N3" s="919" t="s">
        <v>209</v>
      </c>
      <c r="O3" s="920"/>
      <c r="P3" s="920"/>
      <c r="Q3" s="920"/>
      <c r="R3" s="920"/>
      <c r="S3" s="920"/>
      <c r="T3" s="920"/>
      <c r="U3" s="920"/>
      <c r="V3" s="920"/>
      <c r="W3" s="920"/>
      <c r="X3" s="920"/>
      <c r="Y3" s="920"/>
      <c r="Z3" s="921"/>
      <c r="AB3" s="907" t="s">
        <v>335</v>
      </c>
      <c r="AC3" s="907"/>
      <c r="AD3" s="907"/>
      <c r="AE3" s="907"/>
      <c r="AF3" s="907"/>
      <c r="AG3" s="907"/>
      <c r="AH3" s="907"/>
      <c r="AI3" s="907"/>
      <c r="AJ3" s="907"/>
      <c r="AK3" s="907"/>
      <c r="AL3" s="907"/>
      <c r="AM3" s="907"/>
      <c r="AN3" s="907"/>
      <c r="AO3"/>
      <c r="AP3"/>
      <c r="AQ3"/>
      <c r="AR3"/>
      <c r="AS3"/>
      <c r="AT3"/>
      <c r="AU3"/>
      <c r="AV3"/>
      <c r="AW3"/>
      <c r="AX3"/>
      <c r="AY3"/>
      <c r="AZ3"/>
      <c r="BA3"/>
      <c r="BB3"/>
      <c r="BC3"/>
      <c r="BD3"/>
      <c r="BE3"/>
    </row>
    <row r="4" spans="2:57" ht="22.5" customHeight="1" thickBot="1" x14ac:dyDescent="0.25">
      <c r="B4" s="893" t="s">
        <v>338</v>
      </c>
      <c r="C4" s="893"/>
      <c r="D4" s="893"/>
      <c r="E4" s="893"/>
      <c r="F4" s="893"/>
      <c r="G4" s="893"/>
      <c r="H4" s="893"/>
      <c r="I4" s="893"/>
      <c r="J4" s="893"/>
      <c r="K4" s="893"/>
      <c r="L4" s="893"/>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925" t="s">
        <v>131</v>
      </c>
      <c r="O5" s="883" t="s">
        <v>132</v>
      </c>
      <c r="P5" s="883" t="s">
        <v>133</v>
      </c>
      <c r="Q5" s="883" t="s">
        <v>134</v>
      </c>
      <c r="R5" s="883" t="s">
        <v>135</v>
      </c>
      <c r="S5" s="883" t="s">
        <v>117</v>
      </c>
      <c r="T5" s="883" t="s">
        <v>136</v>
      </c>
      <c r="U5" s="883" t="s">
        <v>137</v>
      </c>
      <c r="V5" s="883" t="s">
        <v>138</v>
      </c>
      <c r="W5" s="883" t="s">
        <v>139</v>
      </c>
      <c r="X5" s="883" t="s">
        <v>140</v>
      </c>
      <c r="Y5" s="883" t="s">
        <v>141</v>
      </c>
      <c r="Z5" s="927" t="s">
        <v>142</v>
      </c>
      <c r="AB5" s="878" t="s">
        <v>131</v>
      </c>
      <c r="AC5" s="913" t="s">
        <v>132</v>
      </c>
      <c r="AD5" s="909" t="s">
        <v>133</v>
      </c>
      <c r="AE5" s="909" t="s">
        <v>134</v>
      </c>
      <c r="AF5" s="909" t="s">
        <v>135</v>
      </c>
      <c r="AG5" s="909" t="s">
        <v>117</v>
      </c>
      <c r="AH5" s="909" t="s">
        <v>136</v>
      </c>
      <c r="AI5" s="909" t="s">
        <v>137</v>
      </c>
      <c r="AJ5" s="909" t="s">
        <v>138</v>
      </c>
      <c r="AK5" s="909" t="s">
        <v>139</v>
      </c>
      <c r="AL5" s="909" t="s">
        <v>140</v>
      </c>
      <c r="AM5" s="909" t="s">
        <v>141</v>
      </c>
      <c r="AN5" s="911" t="s">
        <v>142</v>
      </c>
      <c r="AO5" s="472"/>
      <c r="AP5"/>
      <c r="AQ5"/>
      <c r="AR5"/>
      <c r="AS5"/>
      <c r="AT5"/>
      <c r="AU5"/>
      <c r="AV5"/>
      <c r="AW5"/>
      <c r="AX5"/>
      <c r="AY5"/>
      <c r="AZ5"/>
      <c r="BA5"/>
      <c r="BB5"/>
      <c r="BC5"/>
      <c r="BD5"/>
      <c r="BE5"/>
    </row>
    <row r="6" spans="2:57" ht="27" customHeight="1" thickBot="1" x14ac:dyDescent="0.25">
      <c r="B6" s="327"/>
      <c r="C6" s="463"/>
      <c r="D6" s="463"/>
      <c r="E6" s="463"/>
      <c r="F6" s="569">
        <v>28</v>
      </c>
      <c r="G6" s="620" t="s">
        <v>258</v>
      </c>
      <c r="H6" s="569">
        <v>2022</v>
      </c>
      <c r="I6" s="463"/>
      <c r="J6" s="463"/>
      <c r="K6" s="463"/>
      <c r="L6" s="464"/>
      <c r="N6" s="926"/>
      <c r="O6" s="884"/>
      <c r="P6" s="884"/>
      <c r="Q6" s="884"/>
      <c r="R6" s="884"/>
      <c r="S6" s="884"/>
      <c r="T6" s="884"/>
      <c r="U6" s="884"/>
      <c r="V6" s="884"/>
      <c r="W6" s="884"/>
      <c r="X6" s="884"/>
      <c r="Y6" s="884"/>
      <c r="Z6" s="928"/>
      <c r="AB6" s="879"/>
      <c r="AC6" s="914"/>
      <c r="AD6" s="910"/>
      <c r="AE6" s="910"/>
      <c r="AF6" s="910"/>
      <c r="AG6" s="910"/>
      <c r="AH6" s="910"/>
      <c r="AI6" s="910"/>
      <c r="AJ6" s="910"/>
      <c r="AK6" s="910"/>
      <c r="AL6" s="910"/>
      <c r="AM6" s="910"/>
      <c r="AN6" s="912"/>
      <c r="AO6" s="472"/>
      <c r="AP6"/>
      <c r="AQ6"/>
      <c r="AR6"/>
      <c r="AS6"/>
      <c r="AT6"/>
      <c r="AU6"/>
      <c r="AV6"/>
      <c r="AW6"/>
      <c r="AX6"/>
      <c r="AY6"/>
      <c r="AZ6"/>
      <c r="BA6"/>
      <c r="BB6"/>
      <c r="BC6"/>
      <c r="BD6"/>
      <c r="BE6"/>
    </row>
    <row r="7" spans="2:57" ht="27" customHeight="1" thickBot="1" x14ac:dyDescent="0.25">
      <c r="B7" s="898" t="s">
        <v>18</v>
      </c>
      <c r="C7" s="904" t="s">
        <v>272</v>
      </c>
      <c r="D7" s="901" t="s">
        <v>73</v>
      </c>
      <c r="E7" s="891" t="s">
        <v>20</v>
      </c>
      <c r="F7" s="892"/>
      <c r="G7" s="891" t="s">
        <v>94</v>
      </c>
      <c r="H7" s="892"/>
      <c r="I7" s="891" t="s">
        <v>22</v>
      </c>
      <c r="J7" s="892"/>
      <c r="K7" s="888" t="s">
        <v>190</v>
      </c>
      <c r="L7" s="895"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832">
        <v>1</v>
      </c>
      <c r="AC7" s="833">
        <v>961.76</v>
      </c>
      <c r="AD7" s="834">
        <v>1146.01</v>
      </c>
      <c r="AE7" s="834"/>
      <c r="AF7" s="834"/>
      <c r="AG7" s="834"/>
      <c r="AH7" s="834"/>
      <c r="AI7" s="834"/>
      <c r="AJ7" s="834"/>
      <c r="AK7" s="834"/>
      <c r="AL7" s="834"/>
      <c r="AM7" s="834"/>
      <c r="AN7" s="835"/>
      <c r="AO7" s="472"/>
      <c r="AP7"/>
      <c r="AQ7"/>
      <c r="AR7"/>
      <c r="AS7"/>
      <c r="AT7"/>
      <c r="AU7"/>
      <c r="AV7"/>
      <c r="AW7"/>
      <c r="AX7"/>
      <c r="AY7"/>
      <c r="AZ7"/>
      <c r="BA7"/>
      <c r="BB7"/>
      <c r="BC7"/>
      <c r="BD7"/>
      <c r="BE7"/>
    </row>
    <row r="8" spans="2:57" ht="27" customHeight="1" thickBot="1" x14ac:dyDescent="0.25">
      <c r="B8" s="899"/>
      <c r="C8" s="905"/>
      <c r="D8" s="902"/>
      <c r="E8" s="709" t="s">
        <v>24</v>
      </c>
      <c r="F8" s="709" t="s">
        <v>25</v>
      </c>
      <c r="G8" s="710" t="s">
        <v>24</v>
      </c>
      <c r="H8" s="709" t="s">
        <v>25</v>
      </c>
      <c r="I8" s="710" t="s">
        <v>24</v>
      </c>
      <c r="J8" s="709" t="s">
        <v>25</v>
      </c>
      <c r="K8" s="889"/>
      <c r="L8" s="896"/>
      <c r="M8" s="192"/>
      <c r="N8" s="198">
        <v>2</v>
      </c>
      <c r="O8" s="418">
        <v>557.51</v>
      </c>
      <c r="P8" s="415">
        <v>693.59</v>
      </c>
      <c r="Q8" s="415">
        <v>1042.53</v>
      </c>
      <c r="R8" s="205">
        <v>1218.92</v>
      </c>
      <c r="S8" s="415">
        <v>1290.55</v>
      </c>
      <c r="T8" s="415">
        <v>1289.7</v>
      </c>
      <c r="U8" s="205">
        <v>0</v>
      </c>
      <c r="V8" s="205">
        <v>0</v>
      </c>
      <c r="W8" s="205">
        <v>0</v>
      </c>
      <c r="X8" s="205">
        <v>0</v>
      </c>
      <c r="Y8" s="205">
        <v>0</v>
      </c>
      <c r="Z8" s="206">
        <v>0</v>
      </c>
      <c r="AB8" s="836">
        <v>2</v>
      </c>
      <c r="AC8" s="833">
        <v>966.67</v>
      </c>
      <c r="AD8" s="834">
        <v>1155.23</v>
      </c>
      <c r="AE8" s="834"/>
      <c r="AF8" s="834"/>
      <c r="AG8" s="834"/>
      <c r="AH8" s="834"/>
      <c r="AI8" s="834"/>
      <c r="AJ8" s="834"/>
      <c r="AK8" s="834"/>
      <c r="AL8" s="834"/>
      <c r="AM8" s="834"/>
      <c r="AN8" s="835"/>
      <c r="AO8" s="472"/>
      <c r="AP8"/>
      <c r="AQ8"/>
      <c r="AR8"/>
      <c r="AS8"/>
      <c r="AT8"/>
      <c r="AU8"/>
      <c r="AV8"/>
      <c r="AW8"/>
      <c r="AX8"/>
      <c r="AY8"/>
      <c r="AZ8"/>
      <c r="BA8"/>
      <c r="BB8"/>
      <c r="BC8"/>
      <c r="BD8"/>
      <c r="BE8"/>
    </row>
    <row r="9" spans="2:57" ht="27" customHeight="1" thickBot="1" x14ac:dyDescent="0.25">
      <c r="B9" s="900"/>
      <c r="C9" s="906"/>
      <c r="D9" s="903"/>
      <c r="E9" s="711" t="s">
        <v>26</v>
      </c>
      <c r="F9" s="711" t="s">
        <v>294</v>
      </c>
      <c r="G9" s="712" t="s">
        <v>26</v>
      </c>
      <c r="H9" s="711" t="s">
        <v>294</v>
      </c>
      <c r="I9" s="712" t="s">
        <v>26</v>
      </c>
      <c r="J9" s="711" t="s">
        <v>294</v>
      </c>
      <c r="K9" s="890"/>
      <c r="L9" s="897"/>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836">
        <v>3</v>
      </c>
      <c r="AC9" s="833">
        <v>966.49</v>
      </c>
      <c r="AD9" s="834">
        <v>1160.23</v>
      </c>
      <c r="AE9" s="834"/>
      <c r="AF9" s="834"/>
      <c r="AG9" s="834"/>
      <c r="AH9" s="834"/>
      <c r="AI9" s="834"/>
      <c r="AJ9" s="834"/>
      <c r="AK9" s="834"/>
      <c r="AL9" s="834"/>
      <c r="AM9" s="834"/>
      <c r="AN9" s="835"/>
      <c r="AO9" s="472"/>
      <c r="AP9"/>
      <c r="AQ9"/>
      <c r="AR9"/>
      <c r="AS9"/>
      <c r="AT9"/>
      <c r="AU9"/>
      <c r="AV9"/>
      <c r="AW9"/>
      <c r="AX9"/>
      <c r="AY9"/>
      <c r="AZ9"/>
      <c r="BA9"/>
      <c r="BB9"/>
      <c r="BC9"/>
      <c r="BD9"/>
      <c r="BE9"/>
    </row>
    <row r="10" spans="2:57" ht="27" customHeight="1" thickBot="1" x14ac:dyDescent="0.25">
      <c r="B10" s="713">
        <v>1</v>
      </c>
      <c r="C10" s="714">
        <v>2</v>
      </c>
      <c r="D10" s="714">
        <v>3</v>
      </c>
      <c r="E10" s="714">
        <v>4</v>
      </c>
      <c r="F10" s="714">
        <v>5</v>
      </c>
      <c r="G10" s="714">
        <v>6</v>
      </c>
      <c r="H10" s="714">
        <v>7</v>
      </c>
      <c r="I10" s="714">
        <v>8</v>
      </c>
      <c r="J10" s="714">
        <v>9</v>
      </c>
      <c r="K10" s="715">
        <v>10</v>
      </c>
      <c r="L10" s="716">
        <v>11</v>
      </c>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836">
        <v>4</v>
      </c>
      <c r="AC10" s="833">
        <v>977</v>
      </c>
      <c r="AD10" s="834">
        <v>1162.3499999999999</v>
      </c>
      <c r="AE10" s="834"/>
      <c r="AF10" s="834"/>
      <c r="AG10" s="834"/>
      <c r="AH10" s="834"/>
      <c r="AI10" s="834"/>
      <c r="AJ10" s="834"/>
      <c r="AK10" s="834"/>
      <c r="AL10" s="834"/>
      <c r="AM10" s="834"/>
      <c r="AN10" s="835"/>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55.73</v>
      </c>
      <c r="H11" s="575">
        <v>30.887121</v>
      </c>
      <c r="I11" s="575">
        <v>55.38</v>
      </c>
      <c r="J11" s="794">
        <v>28.911000000000001</v>
      </c>
      <c r="K11" s="576" t="s">
        <v>179</v>
      </c>
      <c r="L11" s="577">
        <f>IF(J11=0,"Waduk Kosong",)</f>
        <v>0</v>
      </c>
      <c r="M11" s="718"/>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836">
        <v>5</v>
      </c>
      <c r="AC11" s="833">
        <v>951.85</v>
      </c>
      <c r="AD11" s="834">
        <v>1165.76</v>
      </c>
      <c r="AE11" s="834"/>
      <c r="AF11" s="834"/>
      <c r="AG11" s="834"/>
      <c r="AH11" s="834"/>
      <c r="AI11" s="834"/>
      <c r="AJ11" s="834"/>
      <c r="AK11" s="834"/>
      <c r="AL11" s="834"/>
      <c r="AM11" s="834"/>
      <c r="AN11" s="835"/>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338.7</v>
      </c>
      <c r="H12" s="583">
        <v>7.0949999999999998</v>
      </c>
      <c r="I12" s="582">
        <v>339.07</v>
      </c>
      <c r="J12" s="795">
        <v>7.41</v>
      </c>
      <c r="K12" s="576" t="s">
        <v>180</v>
      </c>
      <c r="L12" s="577">
        <f t="shared" ref="L12:L51" si="0">IF(J12=0,"Waduk Kosong",)</f>
        <v>0</v>
      </c>
      <c r="M12" s="718"/>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837">
        <v>6</v>
      </c>
      <c r="AC12" s="833">
        <v>957.45</v>
      </c>
      <c r="AD12" s="834">
        <v>1171.9000000000001</v>
      </c>
      <c r="AE12" s="834"/>
      <c r="AF12" s="834"/>
      <c r="AG12" s="834"/>
      <c r="AH12" s="834"/>
      <c r="AI12" s="834"/>
      <c r="AJ12" s="834"/>
      <c r="AK12" s="834"/>
      <c r="AL12" s="834"/>
      <c r="AM12" s="834"/>
      <c r="AN12" s="835"/>
      <c r="AO12" s="472"/>
      <c r="AP12"/>
      <c r="AQ12"/>
      <c r="AR12"/>
      <c r="AS12"/>
      <c r="AT12"/>
      <c r="AU12"/>
      <c r="AV12"/>
      <c r="AW12"/>
      <c r="AX12"/>
      <c r="AY12"/>
      <c r="AZ12"/>
      <c r="BA12"/>
      <c r="BB12"/>
      <c r="BC12"/>
      <c r="BD12"/>
      <c r="BE12"/>
    </row>
    <row r="13" spans="2:57" ht="24.75" customHeight="1" thickBot="1" x14ac:dyDescent="0.25">
      <c r="B13" s="578">
        <f t="shared" ref="B13:B47" si="1">+B12+1</f>
        <v>3</v>
      </c>
      <c r="C13" s="579" t="s">
        <v>30</v>
      </c>
      <c r="D13" s="579" t="s">
        <v>75</v>
      </c>
      <c r="E13" s="573">
        <v>77.5</v>
      </c>
      <c r="F13" s="574">
        <v>45.13</v>
      </c>
      <c r="G13" s="582">
        <v>74.11</v>
      </c>
      <c r="H13" s="583">
        <v>29.640999999999998</v>
      </c>
      <c r="I13" s="582">
        <v>77.67</v>
      </c>
      <c r="J13" s="795">
        <v>50.14</v>
      </c>
      <c r="K13" s="576" t="s">
        <v>30</v>
      </c>
      <c r="L13" s="577">
        <f t="shared" si="0"/>
        <v>0</v>
      </c>
      <c r="M13" s="718"/>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836">
        <v>7</v>
      </c>
      <c r="AC13" s="833">
        <v>952.58</v>
      </c>
      <c r="AD13" s="834">
        <v>1179.1300000000001</v>
      </c>
      <c r="AE13" s="834"/>
      <c r="AF13" s="834"/>
      <c r="AG13" s="834"/>
      <c r="AH13" s="834"/>
      <c r="AI13" s="834"/>
      <c r="AJ13" s="834"/>
      <c r="AK13" s="834"/>
      <c r="AL13" s="834"/>
      <c r="AM13" s="834"/>
      <c r="AN13" s="835"/>
      <c r="AO13" s="472"/>
      <c r="AP13"/>
      <c r="AQ13"/>
      <c r="AR13"/>
      <c r="AS13"/>
      <c r="AT13"/>
      <c r="AU13"/>
      <c r="AV13"/>
      <c r="AW13"/>
      <c r="AX13"/>
      <c r="AY13"/>
      <c r="AZ13"/>
      <c r="BA13"/>
      <c r="BB13"/>
      <c r="BC13"/>
      <c r="BD13"/>
      <c r="BE13"/>
    </row>
    <row r="14" spans="2:57" ht="27" customHeight="1" thickBot="1" x14ac:dyDescent="0.25">
      <c r="B14" s="578">
        <f t="shared" si="1"/>
        <v>4</v>
      </c>
      <c r="C14" s="579" t="s">
        <v>31</v>
      </c>
      <c r="D14" s="579" t="s">
        <v>76</v>
      </c>
      <c r="E14" s="573">
        <v>463.3</v>
      </c>
      <c r="F14" s="574">
        <v>49.9</v>
      </c>
      <c r="G14" s="584">
        <v>462.39</v>
      </c>
      <c r="H14" s="584">
        <v>35.720999999999997</v>
      </c>
      <c r="I14" s="574">
        <v>462.5</v>
      </c>
      <c r="J14" s="796">
        <v>37.793999999999997</v>
      </c>
      <c r="K14" s="576" t="s">
        <v>181</v>
      </c>
      <c r="L14" s="577">
        <f t="shared" si="0"/>
        <v>0</v>
      </c>
      <c r="M14" s="719"/>
      <c r="N14" s="198">
        <v>8</v>
      </c>
      <c r="O14" s="418">
        <v>559.37</v>
      </c>
      <c r="P14" s="415">
        <v>833.78</v>
      </c>
      <c r="Q14" s="415">
        <v>1085</v>
      </c>
      <c r="R14" s="205">
        <v>1253.69</v>
      </c>
      <c r="S14" s="415">
        <v>1268</v>
      </c>
      <c r="T14" s="415">
        <v>1305.77</v>
      </c>
      <c r="U14" s="205">
        <v>0</v>
      </c>
      <c r="V14" s="205">
        <v>0</v>
      </c>
      <c r="W14" s="205">
        <v>0</v>
      </c>
      <c r="X14" s="205">
        <v>0</v>
      </c>
      <c r="Y14" s="205">
        <v>0</v>
      </c>
      <c r="Z14" s="206">
        <v>0</v>
      </c>
      <c r="AB14" s="836">
        <v>8</v>
      </c>
      <c r="AC14" s="833">
        <v>959.09</v>
      </c>
      <c r="AD14" s="834">
        <v>1189.47</v>
      </c>
      <c r="AE14" s="834"/>
      <c r="AF14" s="834"/>
      <c r="AG14" s="834"/>
      <c r="AH14" s="834"/>
      <c r="AI14" s="834"/>
      <c r="AJ14" s="834"/>
      <c r="AK14" s="834"/>
      <c r="AL14" s="834"/>
      <c r="AM14" s="834"/>
      <c r="AN14" s="835"/>
      <c r="AO14" s="472"/>
      <c r="AP14"/>
      <c r="AQ14"/>
      <c r="AR14"/>
      <c r="AS14"/>
      <c r="AT14"/>
      <c r="AU14"/>
      <c r="AV14"/>
      <c r="AW14"/>
      <c r="AX14"/>
      <c r="AY14"/>
      <c r="AZ14"/>
      <c r="BA14"/>
      <c r="BB14"/>
      <c r="BC14"/>
      <c r="BD14"/>
      <c r="BE14"/>
    </row>
    <row r="15" spans="2:57" ht="27" customHeight="1" thickBot="1" x14ac:dyDescent="0.25">
      <c r="B15" s="578">
        <f t="shared" si="1"/>
        <v>5</v>
      </c>
      <c r="C15" s="579" t="s">
        <v>32</v>
      </c>
      <c r="D15" s="579" t="s">
        <v>77</v>
      </c>
      <c r="E15" s="573">
        <v>207</v>
      </c>
      <c r="F15" s="574">
        <v>9.5030000000000001</v>
      </c>
      <c r="G15" s="585">
        <v>205.3</v>
      </c>
      <c r="H15" s="586">
        <v>7.3540000000000001</v>
      </c>
      <c r="I15" s="733">
        <v>206.3</v>
      </c>
      <c r="J15" s="797">
        <v>8.67</v>
      </c>
      <c r="K15" s="576" t="s">
        <v>182</v>
      </c>
      <c r="L15" s="577">
        <f t="shared" si="0"/>
        <v>0</v>
      </c>
      <c r="M15" s="720"/>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836">
        <v>9</v>
      </c>
      <c r="AC15" s="833">
        <v>955.94</v>
      </c>
      <c r="AD15" s="834">
        <v>1190.58</v>
      </c>
      <c r="AE15" s="834"/>
      <c r="AF15" s="834"/>
      <c r="AG15" s="834"/>
      <c r="AH15" s="834"/>
      <c r="AI15" s="834"/>
      <c r="AJ15" s="834"/>
      <c r="AK15" s="834"/>
      <c r="AL15" s="834"/>
      <c r="AM15" s="834"/>
      <c r="AN15" s="835"/>
      <c r="AO15" s="472"/>
      <c r="AP15"/>
      <c r="AQ15"/>
      <c r="AR15"/>
      <c r="AS15"/>
      <c r="AT15"/>
      <c r="AU15"/>
      <c r="AV15"/>
      <c r="AW15"/>
      <c r="AX15"/>
      <c r="AY15"/>
      <c r="AZ15"/>
      <c r="BA15"/>
      <c r="BB15"/>
      <c r="BC15"/>
      <c r="BD15"/>
      <c r="BE15"/>
    </row>
    <row r="16" spans="2:57" ht="27" customHeight="1" thickBot="1" x14ac:dyDescent="0.25">
      <c r="B16" s="578">
        <f t="shared" si="1"/>
        <v>6</v>
      </c>
      <c r="C16" s="579" t="s">
        <v>33</v>
      </c>
      <c r="D16" s="579" t="s">
        <v>77</v>
      </c>
      <c r="E16" s="573">
        <v>320</v>
      </c>
      <c r="F16" s="574">
        <v>5.1509999999999998</v>
      </c>
      <c r="G16" s="585">
        <v>316.26</v>
      </c>
      <c r="H16" s="587">
        <v>3.4660000000000002</v>
      </c>
      <c r="I16" s="733">
        <v>317.35000000000002</v>
      </c>
      <c r="J16" s="797">
        <v>3.9460000000000002</v>
      </c>
      <c r="K16" s="576" t="s">
        <v>182</v>
      </c>
      <c r="L16" s="577">
        <f t="shared" si="0"/>
        <v>0</v>
      </c>
      <c r="M16" s="720"/>
      <c r="N16" s="198">
        <v>10</v>
      </c>
      <c r="O16" s="418">
        <v>570.04</v>
      </c>
      <c r="P16" s="415">
        <v>859.47</v>
      </c>
      <c r="Q16" s="415">
        <v>1105</v>
      </c>
      <c r="R16" s="205">
        <v>1262.04</v>
      </c>
      <c r="S16" s="415">
        <v>1265.22</v>
      </c>
      <c r="T16" s="415">
        <v>1309.69</v>
      </c>
      <c r="U16" s="205">
        <v>0</v>
      </c>
      <c r="V16" s="205">
        <v>0</v>
      </c>
      <c r="W16" s="205">
        <v>0</v>
      </c>
      <c r="X16" s="205">
        <v>0</v>
      </c>
      <c r="Y16" s="205">
        <v>0</v>
      </c>
      <c r="Z16" s="206">
        <v>0</v>
      </c>
      <c r="AB16" s="836">
        <v>10</v>
      </c>
      <c r="AC16" s="833">
        <v>965.74</v>
      </c>
      <c r="AD16" s="834">
        <v>1202.24</v>
      </c>
      <c r="AE16" s="834"/>
      <c r="AF16" s="834"/>
      <c r="AG16" s="834"/>
      <c r="AH16" s="834"/>
      <c r="AI16" s="834"/>
      <c r="AJ16" s="834"/>
      <c r="AK16" s="834"/>
      <c r="AL16" s="834"/>
      <c r="AM16" s="834"/>
      <c r="AN16" s="835"/>
      <c r="AO16" s="472"/>
      <c r="AP16"/>
      <c r="AQ16"/>
      <c r="AR16"/>
      <c r="AS16"/>
      <c r="AT16"/>
      <c r="AU16"/>
      <c r="AV16"/>
      <c r="AW16"/>
      <c r="AX16"/>
      <c r="AY16"/>
      <c r="AZ16"/>
      <c r="BA16"/>
      <c r="BB16"/>
      <c r="BC16"/>
      <c r="BD16"/>
      <c r="BE16"/>
    </row>
    <row r="17" spans="2:57" ht="27" customHeight="1" thickBot="1" x14ac:dyDescent="0.25">
      <c r="B17" s="578">
        <f t="shared" si="1"/>
        <v>7</v>
      </c>
      <c r="C17" s="579" t="s">
        <v>34</v>
      </c>
      <c r="D17" s="579" t="s">
        <v>78</v>
      </c>
      <c r="E17" s="573">
        <v>90</v>
      </c>
      <c r="F17" s="574">
        <v>689.09100000000001</v>
      </c>
      <c r="G17" s="585">
        <v>85.14</v>
      </c>
      <c r="H17" s="587">
        <v>466.26100000000002</v>
      </c>
      <c r="I17" s="733">
        <v>88.6</v>
      </c>
      <c r="J17" s="797">
        <v>615.56799999999998</v>
      </c>
      <c r="K17" s="576" t="s">
        <v>183</v>
      </c>
      <c r="L17" s="577">
        <f t="shared" si="0"/>
        <v>0</v>
      </c>
      <c r="M17" s="720"/>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837">
        <v>11</v>
      </c>
      <c r="AC17" s="833">
        <v>974.34</v>
      </c>
      <c r="AD17" s="834">
        <v>1209.53</v>
      </c>
      <c r="AE17" s="834"/>
      <c r="AF17" s="834"/>
      <c r="AG17" s="834"/>
      <c r="AH17" s="834"/>
      <c r="AI17" s="834"/>
      <c r="AJ17" s="834"/>
      <c r="AK17" s="834"/>
      <c r="AL17" s="834"/>
      <c r="AM17" s="834"/>
      <c r="AN17" s="835"/>
      <c r="AO17" s="472"/>
      <c r="AP17" s="301"/>
      <c r="AQ17"/>
      <c r="AR17"/>
      <c r="AS17"/>
      <c r="AT17"/>
      <c r="AU17"/>
      <c r="AV17"/>
      <c r="AW17"/>
      <c r="AX17"/>
      <c r="AY17"/>
      <c r="AZ17"/>
      <c r="BA17"/>
      <c r="BB17"/>
      <c r="BC17"/>
      <c r="BD17"/>
      <c r="BE17"/>
    </row>
    <row r="18" spans="2:57" ht="24.75" customHeight="1" thickBot="1" x14ac:dyDescent="0.25">
      <c r="B18" s="578">
        <f t="shared" si="1"/>
        <v>8</v>
      </c>
      <c r="C18" s="579" t="s">
        <v>35</v>
      </c>
      <c r="D18" s="579" t="s">
        <v>79</v>
      </c>
      <c r="E18" s="573">
        <v>120.5</v>
      </c>
      <c r="F18" s="574">
        <v>2.0920000000000001</v>
      </c>
      <c r="G18" s="585">
        <v>118.44</v>
      </c>
      <c r="H18" s="587">
        <v>1.232</v>
      </c>
      <c r="I18" s="588">
        <v>117.4</v>
      </c>
      <c r="J18" s="798">
        <v>0.66900000000000004</v>
      </c>
      <c r="K18" s="576" t="s">
        <v>184</v>
      </c>
      <c r="L18" s="577">
        <f t="shared" si="0"/>
        <v>0</v>
      </c>
      <c r="M18" s="721"/>
      <c r="N18" s="198">
        <v>12</v>
      </c>
      <c r="O18" s="418">
        <v>577.91</v>
      </c>
      <c r="P18" s="415">
        <v>907.96</v>
      </c>
      <c r="Q18" s="415">
        <v>1114</v>
      </c>
      <c r="R18" s="205">
        <v>1284.04</v>
      </c>
      <c r="S18" s="415">
        <v>1263.57</v>
      </c>
      <c r="T18" s="415">
        <v>1315.08</v>
      </c>
      <c r="U18" s="205">
        <v>0</v>
      </c>
      <c r="V18" s="205">
        <v>0</v>
      </c>
      <c r="W18" s="205">
        <v>0</v>
      </c>
      <c r="X18" s="205">
        <v>0</v>
      </c>
      <c r="Y18" s="205">
        <v>0</v>
      </c>
      <c r="Z18" s="206">
        <v>0</v>
      </c>
      <c r="AB18" s="836">
        <v>12</v>
      </c>
      <c r="AC18" s="833">
        <v>995.97</v>
      </c>
      <c r="AD18" s="834">
        <v>1208.1500000000001</v>
      </c>
      <c r="AE18" s="834"/>
      <c r="AF18" s="834"/>
      <c r="AG18" s="834"/>
      <c r="AH18" s="834"/>
      <c r="AI18" s="834"/>
      <c r="AJ18" s="834"/>
      <c r="AK18" s="834"/>
      <c r="AL18" s="834"/>
      <c r="AM18" s="834"/>
      <c r="AN18" s="835"/>
      <c r="AO18" s="472"/>
      <c r="AP18" s="301"/>
      <c r="AQ18"/>
      <c r="AR18"/>
      <c r="AS18"/>
      <c r="AT18"/>
      <c r="AU18"/>
      <c r="AV18"/>
      <c r="AW18"/>
      <c r="AX18"/>
      <c r="AY18"/>
      <c r="AZ18"/>
      <c r="BA18"/>
      <c r="BB18"/>
      <c r="BC18"/>
      <c r="BD18"/>
      <c r="BE18"/>
    </row>
    <row r="19" spans="2:57" ht="27" customHeight="1" thickBot="1" x14ac:dyDescent="0.25">
      <c r="B19" s="578">
        <f t="shared" si="1"/>
        <v>9</v>
      </c>
      <c r="C19" s="579" t="s">
        <v>36</v>
      </c>
      <c r="D19" s="579" t="s">
        <v>79</v>
      </c>
      <c r="E19" s="573">
        <v>120.8</v>
      </c>
      <c r="F19" s="574">
        <v>2.3530000000000002</v>
      </c>
      <c r="G19" s="585">
        <v>115.88</v>
      </c>
      <c r="H19" s="589">
        <v>0.96199999999999997</v>
      </c>
      <c r="I19" s="733">
        <v>116.33</v>
      </c>
      <c r="J19" s="797">
        <v>0.314</v>
      </c>
      <c r="K19" s="576" t="s">
        <v>184</v>
      </c>
      <c r="L19" s="577">
        <f t="shared" si="0"/>
        <v>0</v>
      </c>
      <c r="M19" s="722"/>
      <c r="N19" s="198">
        <v>13</v>
      </c>
      <c r="O19" s="418">
        <v>582.61</v>
      </c>
      <c r="P19" s="415">
        <v>922.6</v>
      </c>
      <c r="Q19" s="415">
        <v>1123</v>
      </c>
      <c r="R19" s="205">
        <v>1284.04</v>
      </c>
      <c r="S19" s="415">
        <v>1262.28</v>
      </c>
      <c r="T19" s="415">
        <v>1314</v>
      </c>
      <c r="U19" s="205">
        <v>0</v>
      </c>
      <c r="V19" s="205">
        <v>0</v>
      </c>
      <c r="W19" s="205">
        <v>0</v>
      </c>
      <c r="X19" s="205">
        <v>0</v>
      </c>
      <c r="Y19" s="205">
        <v>0</v>
      </c>
      <c r="Z19" s="206">
        <v>0</v>
      </c>
      <c r="AB19" s="836">
        <v>13</v>
      </c>
      <c r="AC19" s="833">
        <v>1012.02</v>
      </c>
      <c r="AD19" s="834">
        <v>1223.95</v>
      </c>
      <c r="AE19" s="834"/>
      <c r="AF19" s="834"/>
      <c r="AG19" s="834"/>
      <c r="AH19" s="834"/>
      <c r="AI19" s="834"/>
      <c r="AJ19" s="834"/>
      <c r="AK19" s="834"/>
      <c r="AL19" s="834"/>
      <c r="AM19" s="834"/>
      <c r="AN19" s="835"/>
      <c r="AO19" s="472"/>
      <c r="AP19" s="301"/>
      <c r="AQ19"/>
      <c r="AR19"/>
      <c r="AS19"/>
      <c r="AT19"/>
      <c r="AU19"/>
      <c r="AV19"/>
      <c r="AW19"/>
      <c r="AX19"/>
      <c r="AY19"/>
      <c r="AZ19"/>
      <c r="BA19"/>
      <c r="BB19"/>
      <c r="BC19"/>
      <c r="BD19"/>
      <c r="BE19"/>
    </row>
    <row r="20" spans="2:57" ht="25.5" customHeight="1" thickBot="1" x14ac:dyDescent="0.25">
      <c r="B20" s="578">
        <f t="shared" si="1"/>
        <v>10</v>
      </c>
      <c r="C20" s="579" t="s">
        <v>37</v>
      </c>
      <c r="D20" s="579" t="s">
        <v>80</v>
      </c>
      <c r="E20" s="573">
        <v>46.5</v>
      </c>
      <c r="F20" s="573">
        <v>4.5999999999999996</v>
      </c>
      <c r="G20" s="585">
        <v>42.79</v>
      </c>
      <c r="H20" s="587">
        <v>1.9059999999999999</v>
      </c>
      <c r="I20" s="733">
        <v>42.63</v>
      </c>
      <c r="J20" s="797">
        <v>1.536</v>
      </c>
      <c r="K20" s="576" t="s">
        <v>185</v>
      </c>
      <c r="L20" s="577">
        <f t="shared" si="0"/>
        <v>0</v>
      </c>
      <c r="M20" s="722"/>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836">
        <v>14</v>
      </c>
      <c r="AC20" s="833">
        <v>1022.68</v>
      </c>
      <c r="AD20" s="834">
        <v>1246.25</v>
      </c>
      <c r="AE20" s="834"/>
      <c r="AF20" s="834"/>
      <c r="AG20" s="834"/>
      <c r="AH20" s="834"/>
      <c r="AI20" s="834"/>
      <c r="AJ20" s="834"/>
      <c r="AK20" s="834"/>
      <c r="AL20" s="834"/>
      <c r="AM20" s="834"/>
      <c r="AN20" s="835"/>
      <c r="AO20" s="472"/>
      <c r="AP20" s="301"/>
      <c r="AQ20"/>
      <c r="AR20"/>
      <c r="AS20"/>
      <c r="AT20"/>
      <c r="AU20"/>
      <c r="AV20"/>
      <c r="AW20"/>
      <c r="AX20"/>
      <c r="AY20"/>
      <c r="AZ20"/>
      <c r="BA20"/>
      <c r="BB20"/>
      <c r="BC20"/>
      <c r="BD20"/>
      <c r="BE20"/>
    </row>
    <row r="21" spans="2:57" ht="27" customHeight="1" thickBot="1" x14ac:dyDescent="0.25">
      <c r="B21" s="578">
        <f t="shared" si="1"/>
        <v>11</v>
      </c>
      <c r="C21" s="579" t="s">
        <v>39</v>
      </c>
      <c r="D21" s="579" t="s">
        <v>80</v>
      </c>
      <c r="E21" s="573">
        <v>51.5</v>
      </c>
      <c r="F21" s="574">
        <v>2.4159999999999999</v>
      </c>
      <c r="G21" s="585">
        <v>48.52</v>
      </c>
      <c r="H21" s="587">
        <v>1.4239999999999999</v>
      </c>
      <c r="I21" s="734">
        <v>49.65</v>
      </c>
      <c r="J21" s="797">
        <v>1.796</v>
      </c>
      <c r="K21" s="576" t="s">
        <v>186</v>
      </c>
      <c r="L21" s="577">
        <f t="shared" si="0"/>
        <v>0</v>
      </c>
      <c r="M21" s="722"/>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836">
        <v>15</v>
      </c>
      <c r="AC21" s="833">
        <v>1024.22</v>
      </c>
      <c r="AD21" s="834">
        <v>1270.22</v>
      </c>
      <c r="AE21" s="834"/>
      <c r="AF21" s="834"/>
      <c r="AG21" s="834"/>
      <c r="AH21" s="834"/>
      <c r="AI21" s="834"/>
      <c r="AJ21" s="834"/>
      <c r="AK21" s="834"/>
      <c r="AL21" s="834"/>
      <c r="AM21" s="834"/>
      <c r="AN21" s="835"/>
      <c r="AO21" s="472"/>
      <c r="AP21" s="301"/>
      <c r="AQ21"/>
      <c r="AR21"/>
      <c r="AS21"/>
      <c r="AT21"/>
      <c r="AU21"/>
      <c r="AV21"/>
      <c r="AW21"/>
      <c r="AX21"/>
      <c r="AY21"/>
      <c r="AZ21"/>
      <c r="BA21"/>
      <c r="BB21"/>
      <c r="BC21"/>
      <c r="BD21"/>
      <c r="BE21"/>
    </row>
    <row r="22" spans="2:57" ht="27" customHeight="1" thickBot="1" x14ac:dyDescent="0.25">
      <c r="B22" s="578">
        <f t="shared" si="1"/>
        <v>12</v>
      </c>
      <c r="C22" s="579" t="s">
        <v>40</v>
      </c>
      <c r="D22" s="579" t="s">
        <v>78</v>
      </c>
      <c r="E22" s="573">
        <v>81</v>
      </c>
      <c r="F22" s="590">
        <v>1.093</v>
      </c>
      <c r="G22" s="585">
        <v>79.91</v>
      </c>
      <c r="H22" s="587">
        <v>0.745</v>
      </c>
      <c r="I22" s="733">
        <v>78.260000000000005</v>
      </c>
      <c r="J22" s="797">
        <v>0.79800000000000004</v>
      </c>
      <c r="K22" s="576" t="s">
        <v>184</v>
      </c>
      <c r="L22" s="577">
        <f t="shared" si="0"/>
        <v>0</v>
      </c>
      <c r="M22" s="722"/>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837">
        <v>16</v>
      </c>
      <c r="AC22" s="833">
        <v>1021.3</v>
      </c>
      <c r="AD22" s="834">
        <v>1280.3399999999999</v>
      </c>
      <c r="AE22" s="834"/>
      <c r="AF22" s="834"/>
      <c r="AG22" s="834"/>
      <c r="AH22" s="834"/>
      <c r="AI22" s="834"/>
      <c r="AJ22" s="834"/>
      <c r="AK22" s="834"/>
      <c r="AL22" s="834"/>
      <c r="AM22" s="834"/>
      <c r="AN22" s="835"/>
      <c r="AO22" s="472"/>
      <c r="AP22" s="301"/>
      <c r="AQ22"/>
      <c r="AR22"/>
      <c r="AS22"/>
      <c r="AT22"/>
      <c r="AU22"/>
      <c r="AV22"/>
      <c r="AW22"/>
      <c r="AX22"/>
      <c r="AY22"/>
      <c r="AZ22"/>
      <c r="BA22"/>
      <c r="BB22"/>
      <c r="BC22"/>
      <c r="BD22"/>
      <c r="BE22"/>
    </row>
    <row r="23" spans="2:57" ht="27" customHeight="1" thickBot="1" x14ac:dyDescent="0.25">
      <c r="B23" s="578">
        <f t="shared" si="1"/>
        <v>13</v>
      </c>
      <c r="C23" s="579" t="s">
        <v>41</v>
      </c>
      <c r="D23" s="579" t="s">
        <v>78</v>
      </c>
      <c r="E23" s="573">
        <v>82.8</v>
      </c>
      <c r="F23" s="574">
        <v>0.42899999999999999</v>
      </c>
      <c r="G23" s="585">
        <v>81.96</v>
      </c>
      <c r="H23" s="587">
        <v>0.30299999999999999</v>
      </c>
      <c r="I23" s="733">
        <v>81.31</v>
      </c>
      <c r="J23" s="797">
        <v>4.7E-2</v>
      </c>
      <c r="K23" s="576" t="s">
        <v>184</v>
      </c>
      <c r="L23" s="577">
        <f t="shared" si="0"/>
        <v>0</v>
      </c>
      <c r="M23" s="720"/>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836">
        <v>17</v>
      </c>
      <c r="AC23" s="833">
        <v>1022.24</v>
      </c>
      <c r="AD23" s="834">
        <v>1292.32</v>
      </c>
      <c r="AE23" s="834"/>
      <c r="AF23" s="834"/>
      <c r="AG23" s="834"/>
      <c r="AH23" s="834"/>
      <c r="AI23" s="834"/>
      <c r="AJ23" s="834"/>
      <c r="AK23" s="834"/>
      <c r="AL23" s="834"/>
      <c r="AM23" s="834"/>
      <c r="AN23" s="835"/>
      <c r="AO23" s="472"/>
      <c r="AP23" s="301"/>
      <c r="AQ23"/>
      <c r="AR23"/>
      <c r="AS23"/>
      <c r="AT23"/>
      <c r="AU23"/>
      <c r="AV23"/>
      <c r="AW23"/>
      <c r="AX23"/>
      <c r="AY23"/>
      <c r="AZ23"/>
      <c r="BA23"/>
      <c r="BB23"/>
      <c r="BC23"/>
      <c r="BD23"/>
      <c r="BE23"/>
    </row>
    <row r="24" spans="2:57" ht="27" customHeight="1" thickBot="1" x14ac:dyDescent="0.25">
      <c r="B24" s="578">
        <f t="shared" si="1"/>
        <v>14</v>
      </c>
      <c r="C24" s="579" t="s">
        <v>42</v>
      </c>
      <c r="D24" s="579" t="s">
        <v>78</v>
      </c>
      <c r="E24" s="573">
        <v>69.95</v>
      </c>
      <c r="F24" s="574">
        <v>0.25</v>
      </c>
      <c r="G24" s="585">
        <v>69.47</v>
      </c>
      <c r="H24" s="587">
        <v>0.17599999999999999</v>
      </c>
      <c r="I24" s="733">
        <v>63.67</v>
      </c>
      <c r="J24" s="797">
        <v>0.21299999999999999</v>
      </c>
      <c r="K24" s="576" t="s">
        <v>184</v>
      </c>
      <c r="L24" s="577">
        <f t="shared" si="0"/>
        <v>0</v>
      </c>
      <c r="M24" s="720"/>
      <c r="N24" s="198">
        <v>18</v>
      </c>
      <c r="O24" s="418">
        <v>587.64</v>
      </c>
      <c r="P24" s="415">
        <v>936</v>
      </c>
      <c r="Q24" s="415">
        <v>1131.28</v>
      </c>
      <c r="R24" s="205">
        <v>1295.56</v>
      </c>
      <c r="S24" s="415">
        <v>1255</v>
      </c>
      <c r="T24" s="415">
        <v>1347.06</v>
      </c>
      <c r="U24" s="205">
        <v>0</v>
      </c>
      <c r="V24" s="205">
        <v>0</v>
      </c>
      <c r="W24" s="205">
        <v>0</v>
      </c>
      <c r="X24" s="205">
        <v>0</v>
      </c>
      <c r="Y24" s="205">
        <v>0</v>
      </c>
      <c r="Z24" s="206">
        <v>0</v>
      </c>
      <c r="AB24" s="836">
        <v>18</v>
      </c>
      <c r="AC24" s="833">
        <v>1032.29</v>
      </c>
      <c r="AD24" s="834">
        <v>1299.3900000000001</v>
      </c>
      <c r="AE24" s="834"/>
      <c r="AF24" s="834"/>
      <c r="AG24" s="834"/>
      <c r="AH24" s="834"/>
      <c r="AI24" s="834"/>
      <c r="AJ24" s="834"/>
      <c r="AK24" s="834"/>
      <c r="AL24" s="834"/>
      <c r="AM24" s="834"/>
      <c r="AN24" s="835"/>
      <c r="AO24" s="472"/>
      <c r="AP24" s="301"/>
      <c r="AQ24"/>
      <c r="AR24"/>
      <c r="AS24"/>
      <c r="AT24"/>
      <c r="AU24"/>
      <c r="AV24"/>
      <c r="AW24"/>
      <c r="AX24"/>
      <c r="AY24"/>
      <c r="AZ24"/>
      <c r="BA24"/>
      <c r="BB24"/>
      <c r="BC24"/>
      <c r="BD24"/>
      <c r="BE24"/>
    </row>
    <row r="25" spans="2:57" ht="27" customHeight="1" thickBot="1" x14ac:dyDescent="0.25">
      <c r="B25" s="578">
        <f t="shared" si="1"/>
        <v>15</v>
      </c>
      <c r="C25" s="579" t="s">
        <v>43</v>
      </c>
      <c r="D25" s="579" t="s">
        <v>78</v>
      </c>
      <c r="E25" s="573">
        <v>48.2</v>
      </c>
      <c r="F25" s="574">
        <v>0.38500000000000001</v>
      </c>
      <c r="G25" s="585">
        <v>45.8</v>
      </c>
      <c r="H25" s="587">
        <v>8.4000000000000005E-2</v>
      </c>
      <c r="I25" s="733">
        <v>47</v>
      </c>
      <c r="J25" s="797">
        <v>0.39700000000000002</v>
      </c>
      <c r="K25" s="576" t="s">
        <v>184</v>
      </c>
      <c r="L25" s="577">
        <f t="shared" si="0"/>
        <v>0</v>
      </c>
      <c r="M25" s="720"/>
      <c r="N25" s="198">
        <v>19</v>
      </c>
      <c r="O25" s="418">
        <v>606</v>
      </c>
      <c r="P25" s="415">
        <v>936.81</v>
      </c>
      <c r="Q25" s="415">
        <v>1125.47</v>
      </c>
      <c r="R25" s="205">
        <v>1295.17</v>
      </c>
      <c r="S25" s="415">
        <v>1256</v>
      </c>
      <c r="T25" s="415">
        <v>1343.11</v>
      </c>
      <c r="U25" s="205">
        <v>0</v>
      </c>
      <c r="V25" s="205">
        <v>0</v>
      </c>
      <c r="W25" s="205">
        <v>0</v>
      </c>
      <c r="X25" s="205">
        <v>0</v>
      </c>
      <c r="Y25" s="205">
        <v>0</v>
      </c>
      <c r="Z25" s="206">
        <v>0</v>
      </c>
      <c r="AB25" s="836">
        <v>19</v>
      </c>
      <c r="AC25" s="833">
        <v>1040.74</v>
      </c>
      <c r="AD25" s="834">
        <v>1313.45</v>
      </c>
      <c r="AE25" s="834"/>
      <c r="AF25" s="834"/>
      <c r="AG25" s="834"/>
      <c r="AH25" s="834"/>
      <c r="AI25" s="834"/>
      <c r="AJ25" s="834"/>
      <c r="AK25" s="834"/>
      <c r="AL25" s="834"/>
      <c r="AM25" s="834"/>
      <c r="AN25" s="835"/>
      <c r="AO25" s="472"/>
      <c r="AP25" s="301"/>
      <c r="AQ25"/>
      <c r="AR25"/>
      <c r="AS25"/>
      <c r="AT25"/>
      <c r="AU25"/>
      <c r="AV25"/>
      <c r="AW25"/>
      <c r="AX25"/>
      <c r="AY25"/>
      <c r="AZ25"/>
      <c r="BA25"/>
      <c r="BB25"/>
      <c r="BC25"/>
      <c r="BD25"/>
      <c r="BE25"/>
    </row>
    <row r="26" spans="2:57" ht="27" customHeight="1" thickBot="1" x14ac:dyDescent="0.25">
      <c r="B26" s="578">
        <f t="shared" si="1"/>
        <v>16</v>
      </c>
      <c r="C26" s="579" t="s">
        <v>81</v>
      </c>
      <c r="D26" s="579" t="s">
        <v>44</v>
      </c>
      <c r="E26" s="573">
        <v>136</v>
      </c>
      <c r="F26" s="574">
        <v>398.69</v>
      </c>
      <c r="G26" s="584">
        <v>132.91999999999999</v>
      </c>
      <c r="H26" s="584">
        <v>211.166</v>
      </c>
      <c r="I26" s="582">
        <v>132.63999999999999</v>
      </c>
      <c r="J26" s="803">
        <v>204.35</v>
      </c>
      <c r="K26" s="576" t="s">
        <v>187</v>
      </c>
      <c r="L26" s="577">
        <f t="shared" si="0"/>
        <v>0</v>
      </c>
      <c r="M26" s="718"/>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836">
        <v>20</v>
      </c>
      <c r="AC26" s="833">
        <v>1056.08</v>
      </c>
      <c r="AD26" s="834">
        <v>1308.3</v>
      </c>
      <c r="AE26" s="834"/>
      <c r="AF26" s="834"/>
      <c r="AG26" s="834"/>
      <c r="AH26" s="834"/>
      <c r="AI26" s="834"/>
      <c r="AJ26" s="834"/>
      <c r="AK26" s="834"/>
      <c r="AL26" s="834"/>
      <c r="AM26" s="834"/>
      <c r="AN26" s="835"/>
      <c r="AO26" s="472"/>
      <c r="AP26" s="301"/>
      <c r="AQ26"/>
      <c r="AR26"/>
      <c r="AS26"/>
      <c r="AT26"/>
      <c r="AU26"/>
      <c r="AV26"/>
      <c r="AW26"/>
      <c r="AX26"/>
      <c r="AY26"/>
      <c r="AZ26"/>
      <c r="BA26"/>
      <c r="BB26"/>
      <c r="BC26"/>
      <c r="BD26"/>
      <c r="BE26"/>
    </row>
    <row r="27" spans="2:57" ht="24" customHeight="1" thickBot="1" x14ac:dyDescent="0.25">
      <c r="B27" s="578">
        <f t="shared" si="1"/>
        <v>17</v>
      </c>
      <c r="C27" s="579" t="s">
        <v>45</v>
      </c>
      <c r="D27" s="579" t="s">
        <v>44</v>
      </c>
      <c r="E27" s="573">
        <v>113.5</v>
      </c>
      <c r="F27" s="574">
        <v>2.3410000000000002</v>
      </c>
      <c r="G27" s="584">
        <v>113</v>
      </c>
      <c r="H27" s="584">
        <v>2.1120000000000001</v>
      </c>
      <c r="I27" s="591">
        <v>112.09</v>
      </c>
      <c r="J27" s="803">
        <v>1.7237</v>
      </c>
      <c r="K27" s="576" t="s">
        <v>187</v>
      </c>
      <c r="L27" s="577">
        <f t="shared" si="0"/>
        <v>0</v>
      </c>
      <c r="M27" s="718"/>
      <c r="N27" s="198">
        <v>21</v>
      </c>
      <c r="O27" s="418">
        <v>628.14</v>
      </c>
      <c r="P27" s="415">
        <v>938.68</v>
      </c>
      <c r="Q27" s="415">
        <v>1131.45</v>
      </c>
      <c r="R27" s="205">
        <v>1297.1400000000001</v>
      </c>
      <c r="S27" s="415">
        <v>1259</v>
      </c>
      <c r="T27" s="415">
        <v>0</v>
      </c>
      <c r="U27" s="205">
        <v>0</v>
      </c>
      <c r="V27" s="205">
        <v>0</v>
      </c>
      <c r="W27" s="205">
        <v>0</v>
      </c>
      <c r="X27" s="205">
        <v>0</v>
      </c>
      <c r="Y27" s="205">
        <v>0</v>
      </c>
      <c r="Z27" s="206">
        <v>0</v>
      </c>
      <c r="AB27" s="837">
        <v>21</v>
      </c>
      <c r="AC27" s="833">
        <v>1071.4000000000001</v>
      </c>
      <c r="AD27" s="834">
        <v>1306.71</v>
      </c>
      <c r="AE27" s="834"/>
      <c r="AF27" s="834"/>
      <c r="AG27" s="834"/>
      <c r="AH27" s="834"/>
      <c r="AI27" s="834"/>
      <c r="AJ27" s="834"/>
      <c r="AK27" s="834"/>
      <c r="AL27" s="834"/>
      <c r="AM27" s="834"/>
      <c r="AN27" s="835"/>
      <c r="AO27" s="472"/>
      <c r="AP27" s="301"/>
      <c r="AQ27"/>
      <c r="AR27"/>
      <c r="AS27"/>
      <c r="AT27"/>
      <c r="AU27"/>
      <c r="AV27"/>
      <c r="AW27"/>
      <c r="AX27"/>
      <c r="AY27"/>
      <c r="AZ27"/>
      <c r="BA27"/>
      <c r="BB27"/>
      <c r="BC27"/>
      <c r="BD27"/>
      <c r="BE27"/>
    </row>
    <row r="28" spans="2:57" ht="27" customHeight="1" thickBot="1" x14ac:dyDescent="0.25">
      <c r="B28" s="578">
        <f t="shared" si="1"/>
        <v>18</v>
      </c>
      <c r="C28" s="579" t="s">
        <v>46</v>
      </c>
      <c r="D28" s="579" t="s">
        <v>44</v>
      </c>
      <c r="E28" s="573">
        <v>225.4</v>
      </c>
      <c r="F28" s="573">
        <v>0.32300000000000001</v>
      </c>
      <c r="G28" s="584">
        <v>203.5</v>
      </c>
      <c r="H28" s="584">
        <v>0.27300000000000002</v>
      </c>
      <c r="I28" s="582">
        <v>201.8</v>
      </c>
      <c r="J28" s="803">
        <v>0.1249</v>
      </c>
      <c r="K28" s="576" t="s">
        <v>187</v>
      </c>
      <c r="L28" s="577">
        <f t="shared" si="0"/>
        <v>0</v>
      </c>
      <c r="M28" s="718"/>
      <c r="N28" s="198">
        <v>22</v>
      </c>
      <c r="O28" s="418">
        <v>644.20000000000005</v>
      </c>
      <c r="P28" s="415">
        <v>937.36</v>
      </c>
      <c r="Q28" s="415">
        <v>1147</v>
      </c>
      <c r="R28" s="205">
        <v>1297.76</v>
      </c>
      <c r="S28" s="415">
        <v>1268</v>
      </c>
      <c r="T28" s="205">
        <v>0</v>
      </c>
      <c r="U28" s="205">
        <v>0</v>
      </c>
      <c r="V28" s="205">
        <v>0</v>
      </c>
      <c r="W28" s="205">
        <v>0</v>
      </c>
      <c r="X28" s="205">
        <v>0</v>
      </c>
      <c r="Y28" s="205">
        <v>0</v>
      </c>
      <c r="Z28" s="206">
        <v>0</v>
      </c>
      <c r="AB28" s="836">
        <v>22</v>
      </c>
      <c r="AC28" s="833">
        <v>1088.43</v>
      </c>
      <c r="AD28" s="834">
        <v>1308.99</v>
      </c>
      <c r="AE28" s="834"/>
      <c r="AF28" s="834"/>
      <c r="AG28" s="834"/>
      <c r="AH28" s="834"/>
      <c r="AI28" s="834"/>
      <c r="AJ28" s="834"/>
      <c r="AK28" s="834"/>
      <c r="AL28" s="834"/>
      <c r="AM28" s="834"/>
      <c r="AN28" s="835"/>
      <c r="AO28" s="472"/>
      <c r="AP28" s="301"/>
      <c r="AQ28"/>
      <c r="AR28"/>
      <c r="AS28"/>
      <c r="AT28"/>
      <c r="AU28"/>
      <c r="AV28"/>
      <c r="AW28"/>
      <c r="AX28"/>
      <c r="AY28"/>
      <c r="AZ28"/>
      <c r="BA28"/>
      <c r="BB28"/>
      <c r="BC28"/>
      <c r="BD28"/>
      <c r="BE28"/>
    </row>
    <row r="29" spans="2:57" ht="27" customHeight="1" thickBot="1" x14ac:dyDescent="0.25">
      <c r="B29" s="578">
        <f t="shared" si="1"/>
        <v>19</v>
      </c>
      <c r="C29" s="579" t="s">
        <v>47</v>
      </c>
      <c r="D29" s="579" t="s">
        <v>44</v>
      </c>
      <c r="E29" s="573">
        <v>224</v>
      </c>
      <c r="F29" s="574">
        <v>0.42899999999999999</v>
      </c>
      <c r="G29" s="584">
        <v>223.53</v>
      </c>
      <c r="H29" s="584">
        <v>0.38400000000000001</v>
      </c>
      <c r="I29" s="591">
        <v>221.52</v>
      </c>
      <c r="J29" s="804">
        <v>0.2392</v>
      </c>
      <c r="K29" s="576" t="s">
        <v>187</v>
      </c>
      <c r="L29" s="577">
        <f t="shared" si="0"/>
        <v>0</v>
      </c>
      <c r="M29" s="718"/>
      <c r="N29" s="198">
        <v>23</v>
      </c>
      <c r="O29" s="418">
        <v>648.29</v>
      </c>
      <c r="P29" s="415">
        <v>945.95</v>
      </c>
      <c r="Q29" s="415">
        <v>1150</v>
      </c>
      <c r="R29" s="205">
        <v>1297.1099999999999</v>
      </c>
      <c r="S29" s="415">
        <v>1273</v>
      </c>
      <c r="T29" s="205">
        <v>0</v>
      </c>
      <c r="U29" s="205">
        <v>0</v>
      </c>
      <c r="V29" s="205">
        <v>0</v>
      </c>
      <c r="W29" s="205">
        <v>0</v>
      </c>
      <c r="X29" s="205">
        <v>0</v>
      </c>
      <c r="Y29" s="205">
        <v>0</v>
      </c>
      <c r="Z29" s="206">
        <v>0</v>
      </c>
      <c r="AB29" s="836">
        <v>23</v>
      </c>
      <c r="AC29" s="833">
        <v>1098.1199999999999</v>
      </c>
      <c r="AD29" s="834">
        <v>1310.3</v>
      </c>
      <c r="AE29" s="834"/>
      <c r="AF29" s="834"/>
      <c r="AG29" s="834"/>
      <c r="AH29" s="834"/>
      <c r="AI29" s="834"/>
      <c r="AJ29" s="834"/>
      <c r="AK29" s="834"/>
      <c r="AL29" s="834"/>
      <c r="AM29" s="834"/>
      <c r="AN29" s="835"/>
      <c r="AO29" s="472"/>
      <c r="AP29" s="301"/>
      <c r="AQ29"/>
      <c r="AR29"/>
      <c r="AS29"/>
      <c r="AT29" s="302"/>
      <c r="AU29"/>
      <c r="AV29"/>
      <c r="AW29"/>
      <c r="AX29"/>
      <c r="AY29"/>
      <c r="AZ29"/>
      <c r="BA29"/>
      <c r="BB29"/>
      <c r="BC29"/>
      <c r="BD29"/>
      <c r="BE29"/>
    </row>
    <row r="30" spans="2:57" ht="24.75" customHeight="1" thickBot="1" x14ac:dyDescent="0.25">
      <c r="B30" s="578">
        <f t="shared" si="1"/>
        <v>20</v>
      </c>
      <c r="C30" s="579" t="s">
        <v>48</v>
      </c>
      <c r="D30" s="579" t="s">
        <v>44</v>
      </c>
      <c r="E30" s="573">
        <v>196</v>
      </c>
      <c r="F30" s="574">
        <v>0.77100000000000002</v>
      </c>
      <c r="G30" s="584">
        <v>195.5</v>
      </c>
      <c r="H30" s="582">
        <v>0.67500000000000004</v>
      </c>
      <c r="I30" s="591">
        <v>196.05</v>
      </c>
      <c r="J30" s="803">
        <v>0.78080000000000005</v>
      </c>
      <c r="K30" s="576" t="s">
        <v>187</v>
      </c>
      <c r="L30" s="577">
        <f t="shared" si="0"/>
        <v>0</v>
      </c>
      <c r="M30" s="718"/>
      <c r="N30" s="198">
        <v>24</v>
      </c>
      <c r="O30" s="418">
        <v>651.52</v>
      </c>
      <c r="P30" s="415">
        <v>956.63</v>
      </c>
      <c r="Q30" s="415">
        <v>1160</v>
      </c>
      <c r="R30" s="205">
        <v>1296.8900000000001</v>
      </c>
      <c r="S30" s="415">
        <v>1268.77</v>
      </c>
      <c r="T30" s="205">
        <v>0</v>
      </c>
      <c r="U30" s="205">
        <v>0</v>
      </c>
      <c r="V30" s="205">
        <v>0</v>
      </c>
      <c r="W30" s="205">
        <v>0</v>
      </c>
      <c r="X30" s="205">
        <v>0</v>
      </c>
      <c r="Y30" s="205">
        <v>0</v>
      </c>
      <c r="Z30" s="206">
        <v>0</v>
      </c>
      <c r="AB30" s="836">
        <v>24</v>
      </c>
      <c r="AC30" s="833">
        <v>1101.3599999999999</v>
      </c>
      <c r="AD30" s="834">
        <v>1309.3499999999999</v>
      </c>
      <c r="AE30" s="834"/>
      <c r="AF30" s="834"/>
      <c r="AG30" s="834"/>
      <c r="AH30" s="834"/>
      <c r="AI30" s="834"/>
      <c r="AJ30" s="834"/>
      <c r="AK30" s="834"/>
      <c r="AL30" s="834"/>
      <c r="AM30" s="834"/>
      <c r="AN30" s="835"/>
      <c r="AO30" s="472"/>
      <c r="AP30" s="301"/>
      <c r="AQ30"/>
      <c r="AR30"/>
      <c r="AS30"/>
      <c r="AT30" s="302"/>
      <c r="AU30"/>
      <c r="AV30"/>
      <c r="AW30"/>
      <c r="AX30"/>
      <c r="AY30"/>
      <c r="AZ30"/>
      <c r="BA30"/>
      <c r="BB30"/>
      <c r="BC30"/>
      <c r="BD30"/>
      <c r="BE30"/>
    </row>
    <row r="31" spans="2:57" ht="27" customHeight="1" thickBot="1" x14ac:dyDescent="0.25">
      <c r="B31" s="578">
        <f t="shared" si="1"/>
        <v>21</v>
      </c>
      <c r="C31" s="579" t="s">
        <v>49</v>
      </c>
      <c r="D31" s="579" t="s">
        <v>44</v>
      </c>
      <c r="E31" s="573">
        <v>174</v>
      </c>
      <c r="F31" s="574">
        <v>0.22600000000000001</v>
      </c>
      <c r="G31" s="584">
        <v>170.57</v>
      </c>
      <c r="H31" s="584">
        <v>0.16300000000000001</v>
      </c>
      <c r="I31" s="591">
        <v>168.47</v>
      </c>
      <c r="J31" s="803">
        <v>5.7000000000000002E-2</v>
      </c>
      <c r="K31" s="576" t="s">
        <v>187</v>
      </c>
      <c r="L31" s="577">
        <f>IF(J31=0,"Waduk Kosong",)</f>
        <v>0</v>
      </c>
      <c r="M31" s="718"/>
      <c r="N31" s="198">
        <v>25</v>
      </c>
      <c r="O31" s="418">
        <v>650.16999999999996</v>
      </c>
      <c r="P31" s="415">
        <v>970.67</v>
      </c>
      <c r="Q31" s="415">
        <v>1165</v>
      </c>
      <c r="R31" s="205">
        <v>1298.76</v>
      </c>
      <c r="S31" s="415">
        <v>1269.49</v>
      </c>
      <c r="T31" s="205">
        <v>0</v>
      </c>
      <c r="U31" s="205">
        <v>0</v>
      </c>
      <c r="V31" s="205">
        <v>0</v>
      </c>
      <c r="W31" s="205">
        <v>0</v>
      </c>
      <c r="X31" s="205">
        <v>0</v>
      </c>
      <c r="Y31" s="205">
        <v>0</v>
      </c>
      <c r="Z31" s="206">
        <v>0</v>
      </c>
      <c r="AB31" s="836">
        <v>25</v>
      </c>
      <c r="AC31" s="833">
        <v>1065.3699999999999</v>
      </c>
      <c r="AD31" s="834">
        <v>1305.58</v>
      </c>
      <c r="AE31" s="834"/>
      <c r="AF31" s="834"/>
      <c r="AG31" s="834"/>
      <c r="AH31" s="834"/>
      <c r="AI31" s="834"/>
      <c r="AJ31" s="834"/>
      <c r="AK31" s="834"/>
      <c r="AL31" s="834"/>
      <c r="AM31" s="834"/>
      <c r="AN31" s="835"/>
      <c r="AO31" s="472"/>
      <c r="AP31" s="301"/>
      <c r="AQ31"/>
      <c r="AR31"/>
      <c r="AS31"/>
      <c r="AT31" s="302"/>
      <c r="AU31"/>
      <c r="AV31"/>
      <c r="AW31"/>
      <c r="AX31"/>
      <c r="AY31"/>
      <c r="AZ31"/>
      <c r="BA31"/>
      <c r="BB31"/>
      <c r="BC31"/>
      <c r="BD31"/>
      <c r="BE31"/>
    </row>
    <row r="32" spans="2:57" ht="24" customHeight="1" thickBot="1" x14ac:dyDescent="0.25">
      <c r="B32" s="571">
        <f t="shared" si="1"/>
        <v>22</v>
      </c>
      <c r="C32" s="572" t="s">
        <v>50</v>
      </c>
      <c r="D32" s="572" t="s">
        <v>44</v>
      </c>
      <c r="E32" s="580">
        <v>229.1</v>
      </c>
      <c r="F32" s="581">
        <v>0.71399999999999997</v>
      </c>
      <c r="G32" s="592">
        <v>226.6</v>
      </c>
      <c r="H32" s="592">
        <v>0.49199999999999999</v>
      </c>
      <c r="I32" s="593">
        <v>226.12</v>
      </c>
      <c r="J32" s="805">
        <v>0.45069999999999999</v>
      </c>
      <c r="K32" s="576" t="s">
        <v>187</v>
      </c>
      <c r="L32" s="577">
        <f t="shared" si="0"/>
        <v>0</v>
      </c>
      <c r="M32" s="718"/>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837">
        <v>26</v>
      </c>
      <c r="AC32" s="833">
        <v>1076.4000000000001</v>
      </c>
      <c r="AD32" s="834">
        <v>1306.5</v>
      </c>
      <c r="AE32" s="834"/>
      <c r="AF32" s="834"/>
      <c r="AG32" s="834"/>
      <c r="AH32" s="834"/>
      <c r="AI32" s="834"/>
      <c r="AJ32" s="834"/>
      <c r="AK32" s="834"/>
      <c r="AL32" s="834"/>
      <c r="AM32" s="834"/>
      <c r="AN32" s="835"/>
      <c r="AO32" s="472"/>
      <c r="AP32" s="301"/>
      <c r="AQ32"/>
      <c r="AR32"/>
      <c r="AS32"/>
      <c r="AT32" s="302"/>
      <c r="AU32"/>
      <c r="AV32"/>
      <c r="AW32"/>
      <c r="AX32"/>
      <c r="AY32"/>
      <c r="AZ32"/>
      <c r="BA32"/>
      <c r="BB32"/>
      <c r="BC32"/>
      <c r="BD32"/>
      <c r="BE32"/>
    </row>
    <row r="33" spans="2:57" ht="27" customHeight="1" thickBot="1" x14ac:dyDescent="0.25">
      <c r="B33" s="578">
        <f t="shared" si="1"/>
        <v>23</v>
      </c>
      <c r="C33" s="579" t="s">
        <v>51</v>
      </c>
      <c r="D33" s="579" t="s">
        <v>44</v>
      </c>
      <c r="E33" s="573">
        <v>249</v>
      </c>
      <c r="F33" s="574">
        <v>1.708</v>
      </c>
      <c r="G33" s="584">
        <v>248.7</v>
      </c>
      <c r="H33" s="584">
        <v>1.708</v>
      </c>
      <c r="I33" s="591">
        <v>247.9</v>
      </c>
      <c r="J33" s="804">
        <v>1.4849000000000001</v>
      </c>
      <c r="K33" s="576" t="s">
        <v>187</v>
      </c>
      <c r="L33" s="577">
        <f t="shared" si="0"/>
        <v>0</v>
      </c>
      <c r="M33" s="718"/>
      <c r="N33" s="198">
        <v>27</v>
      </c>
      <c r="O33" s="418">
        <v>666.04</v>
      </c>
      <c r="P33" s="415">
        <v>998.34</v>
      </c>
      <c r="Q33" s="415">
        <v>1182</v>
      </c>
      <c r="R33" s="205">
        <v>1292.3699999999999</v>
      </c>
      <c r="S33" s="415">
        <v>1273.3</v>
      </c>
      <c r="T33" s="205">
        <v>0</v>
      </c>
      <c r="U33" s="205">
        <v>0</v>
      </c>
      <c r="V33" s="205">
        <v>0</v>
      </c>
      <c r="W33" s="205">
        <v>0</v>
      </c>
      <c r="X33" s="205">
        <v>0</v>
      </c>
      <c r="Y33" s="205">
        <v>0</v>
      </c>
      <c r="Z33" s="206">
        <v>0</v>
      </c>
      <c r="AB33" s="836">
        <v>27</v>
      </c>
      <c r="AC33" s="833">
        <v>1103.0899999999999</v>
      </c>
      <c r="AD33" s="834">
        <v>1326.16</v>
      </c>
      <c r="AE33" s="834"/>
      <c r="AF33" s="834"/>
      <c r="AG33" s="834"/>
      <c r="AH33" s="834"/>
      <c r="AI33" s="834"/>
      <c r="AJ33" s="834"/>
      <c r="AK33" s="834"/>
      <c r="AL33" s="834"/>
      <c r="AM33" s="834"/>
      <c r="AN33" s="835"/>
      <c r="AO33" s="472"/>
      <c r="AP33" s="301"/>
      <c r="AQ33"/>
      <c r="AR33"/>
      <c r="AS33"/>
      <c r="AT33" s="302"/>
      <c r="AU33"/>
      <c r="AV33"/>
      <c r="AW33"/>
      <c r="AX33"/>
      <c r="AY33"/>
      <c r="AZ33"/>
      <c r="BA33"/>
      <c r="BB33"/>
      <c r="BC33"/>
      <c r="BD33"/>
      <c r="BE33"/>
    </row>
    <row r="34" spans="2:57" ht="68.25" customHeight="1" thickBot="1" x14ac:dyDescent="0.25">
      <c r="B34" s="578">
        <f t="shared" si="1"/>
        <v>24</v>
      </c>
      <c r="C34" s="579" t="s">
        <v>52</v>
      </c>
      <c r="D34" s="579" t="s">
        <v>82</v>
      </c>
      <c r="E34" s="573">
        <v>164.75</v>
      </c>
      <c r="F34" s="573">
        <v>4.3979999999999997</v>
      </c>
      <c r="G34" s="584">
        <v>140</v>
      </c>
      <c r="H34" s="584">
        <v>0</v>
      </c>
      <c r="I34" s="584">
        <v>140</v>
      </c>
      <c r="J34" s="804">
        <v>0</v>
      </c>
      <c r="K34" s="576" t="s">
        <v>187</v>
      </c>
      <c r="L34" s="862" t="s">
        <v>343</v>
      </c>
      <c r="M34" s="868"/>
      <c r="N34" s="198">
        <v>28</v>
      </c>
      <c r="O34" s="418">
        <v>678.45</v>
      </c>
      <c r="P34" s="415">
        <v>1019.22</v>
      </c>
      <c r="Q34" s="415">
        <v>1187.53</v>
      </c>
      <c r="R34" s="205">
        <v>1289.74</v>
      </c>
      <c r="S34" s="415">
        <v>1276</v>
      </c>
      <c r="T34" s="205">
        <v>0</v>
      </c>
      <c r="U34" s="205">
        <v>0</v>
      </c>
      <c r="V34" s="205">
        <v>0</v>
      </c>
      <c r="W34" s="205">
        <v>0</v>
      </c>
      <c r="X34" s="205">
        <v>0</v>
      </c>
      <c r="Y34" s="205">
        <v>0</v>
      </c>
      <c r="Z34" s="206">
        <v>0</v>
      </c>
      <c r="AB34" s="836">
        <v>28</v>
      </c>
      <c r="AC34" s="833">
        <v>1094.99</v>
      </c>
      <c r="AD34" s="834">
        <v>1327.38</v>
      </c>
      <c r="AE34" s="834"/>
      <c r="AF34" s="834"/>
      <c r="AG34" s="834"/>
      <c r="AH34" s="834"/>
      <c r="AI34" s="834"/>
      <c r="AJ34" s="834"/>
      <c r="AK34" s="834"/>
      <c r="AL34" s="834"/>
      <c r="AM34" s="834"/>
      <c r="AN34" s="835"/>
      <c r="AO34" s="472"/>
      <c r="AP34" s="301"/>
      <c r="AQ34"/>
      <c r="AR34"/>
      <c r="AS34"/>
      <c r="AT34" s="302"/>
      <c r="AU34"/>
      <c r="AV34"/>
      <c r="AW34"/>
      <c r="AX34"/>
      <c r="AY34"/>
      <c r="AZ34"/>
      <c r="BA34"/>
      <c r="BB34"/>
      <c r="BC34"/>
      <c r="BD34"/>
      <c r="BE34"/>
    </row>
    <row r="35" spans="2:57" ht="27.75" customHeight="1" thickBot="1" x14ac:dyDescent="0.25">
      <c r="B35" s="578">
        <f t="shared" si="1"/>
        <v>25</v>
      </c>
      <c r="C35" s="579" t="s">
        <v>53</v>
      </c>
      <c r="D35" s="579" t="s">
        <v>82</v>
      </c>
      <c r="E35" s="573">
        <v>179.1</v>
      </c>
      <c r="F35" s="574">
        <v>3.3109999999999999</v>
      </c>
      <c r="G35" s="594">
        <v>204.56</v>
      </c>
      <c r="H35" s="594">
        <v>3.052</v>
      </c>
      <c r="I35" s="582">
        <v>204.16</v>
      </c>
      <c r="J35" s="803">
        <v>2.8117999999999999</v>
      </c>
      <c r="K35" s="576" t="s">
        <v>187</v>
      </c>
      <c r="L35" s="577">
        <f t="shared" si="0"/>
        <v>0</v>
      </c>
      <c r="M35" s="861">
        <f>(((J35/H35)*100)/100)*F35</f>
        <v>3.0504160550458712</v>
      </c>
      <c r="N35" s="198">
        <v>29</v>
      </c>
      <c r="O35" s="418">
        <v>681.5</v>
      </c>
      <c r="P35" s="415">
        <v>1032.74</v>
      </c>
      <c r="Q35" s="415">
        <v>1187</v>
      </c>
      <c r="R35" s="205">
        <v>1295.45</v>
      </c>
      <c r="S35" s="415">
        <v>1272</v>
      </c>
      <c r="T35" s="205">
        <v>0</v>
      </c>
      <c r="U35" s="205">
        <v>0</v>
      </c>
      <c r="V35" s="205">
        <v>0</v>
      </c>
      <c r="W35" s="205">
        <v>0</v>
      </c>
      <c r="X35" s="205">
        <v>0</v>
      </c>
      <c r="Y35" s="205">
        <v>0</v>
      </c>
      <c r="Z35" s="206">
        <v>0</v>
      </c>
      <c r="AB35" s="836">
        <v>29</v>
      </c>
      <c r="AC35" s="833">
        <v>1108.45</v>
      </c>
      <c r="AD35" s="838"/>
      <c r="AE35" s="834"/>
      <c r="AF35" s="834"/>
      <c r="AG35" s="834"/>
      <c r="AH35" s="834"/>
      <c r="AI35" s="834"/>
      <c r="AJ35" s="834"/>
      <c r="AK35" s="834"/>
      <c r="AL35" s="834"/>
      <c r="AM35" s="834"/>
      <c r="AN35" s="835"/>
      <c r="AO35" s="472"/>
      <c r="AP35" s="301"/>
      <c r="AQ35"/>
      <c r="AR35"/>
      <c r="AS35"/>
      <c r="AT35" s="302"/>
      <c r="AU35"/>
      <c r="AV35"/>
      <c r="AW35"/>
      <c r="AX35"/>
      <c r="AY35"/>
      <c r="AZ35"/>
      <c r="BA35"/>
      <c r="BB35"/>
      <c r="BC35"/>
      <c r="BD35"/>
      <c r="BE35"/>
    </row>
    <row r="36" spans="2:57" ht="27" customHeight="1" thickBot="1" x14ac:dyDescent="0.25">
      <c r="B36" s="578">
        <f t="shared" si="1"/>
        <v>26</v>
      </c>
      <c r="C36" s="579" t="s">
        <v>54</v>
      </c>
      <c r="D36" s="579" t="s">
        <v>83</v>
      </c>
      <c r="E36" s="573">
        <v>325.56</v>
      </c>
      <c r="F36" s="574">
        <v>0.64100000000000001</v>
      </c>
      <c r="G36" s="594">
        <v>325.5</v>
      </c>
      <c r="H36" s="594">
        <v>0.69599999999999995</v>
      </c>
      <c r="I36" s="591">
        <v>325.2</v>
      </c>
      <c r="J36" s="804">
        <v>0.66800000000000004</v>
      </c>
      <c r="K36" s="576" t="s">
        <v>187</v>
      </c>
      <c r="L36" s="577">
        <f t="shared" si="0"/>
        <v>0</v>
      </c>
      <c r="M36" s="863"/>
      <c r="N36" s="198">
        <v>30</v>
      </c>
      <c r="O36" s="418">
        <v>691.96</v>
      </c>
      <c r="P36" s="419"/>
      <c r="Q36" s="415">
        <v>1202.5999999999999</v>
      </c>
      <c r="R36" s="205">
        <v>1297.28</v>
      </c>
      <c r="S36" s="415">
        <v>1272</v>
      </c>
      <c r="T36" s="205">
        <v>0</v>
      </c>
      <c r="U36" s="205">
        <v>0</v>
      </c>
      <c r="V36" s="205">
        <v>0</v>
      </c>
      <c r="W36" s="205">
        <v>0</v>
      </c>
      <c r="X36" s="205">
        <v>0</v>
      </c>
      <c r="Y36" s="205">
        <v>0</v>
      </c>
      <c r="Z36" s="206">
        <v>0</v>
      </c>
      <c r="AB36" s="836">
        <v>30</v>
      </c>
      <c r="AC36" s="833">
        <v>1145.5999999999999</v>
      </c>
      <c r="AD36" s="838"/>
      <c r="AE36" s="834"/>
      <c r="AF36" s="834"/>
      <c r="AG36" s="834"/>
      <c r="AH36" s="834"/>
      <c r="AI36" s="834"/>
      <c r="AJ36" s="834"/>
      <c r="AK36" s="834"/>
      <c r="AL36" s="834"/>
      <c r="AM36" s="834"/>
      <c r="AN36" s="835"/>
      <c r="AO36" s="472"/>
      <c r="AP36" s="301"/>
      <c r="AQ36"/>
      <c r="AR36"/>
      <c r="AS36"/>
      <c r="AT36" s="302"/>
      <c r="AU36"/>
      <c r="AV36"/>
      <c r="AW36"/>
      <c r="AX36"/>
      <c r="AY36"/>
      <c r="AZ36"/>
      <c r="BA36"/>
      <c r="BB36"/>
      <c r="BC36"/>
      <c r="BD36"/>
      <c r="BE36"/>
    </row>
    <row r="37" spans="2:57" ht="27" customHeight="1" thickBot="1" x14ac:dyDescent="0.25">
      <c r="B37" s="578">
        <f t="shared" si="1"/>
        <v>27</v>
      </c>
      <c r="C37" s="579" t="s">
        <v>55</v>
      </c>
      <c r="D37" s="579" t="s">
        <v>83</v>
      </c>
      <c r="E37" s="573">
        <v>129.19999999999999</v>
      </c>
      <c r="F37" s="574">
        <v>0.71</v>
      </c>
      <c r="G37" s="584">
        <v>129.19999999999999</v>
      </c>
      <c r="H37" s="584">
        <v>0.71</v>
      </c>
      <c r="I37" s="591">
        <v>128.81</v>
      </c>
      <c r="J37" s="803">
        <v>0.65710000000000002</v>
      </c>
      <c r="K37" s="576" t="s">
        <v>187</v>
      </c>
      <c r="L37" s="577">
        <f t="shared" si="0"/>
        <v>0</v>
      </c>
      <c r="M37" s="863"/>
      <c r="N37" s="198">
        <v>31</v>
      </c>
      <c r="O37" s="418">
        <v>692.87</v>
      </c>
      <c r="P37" s="419"/>
      <c r="Q37" s="415">
        <v>1208.5</v>
      </c>
      <c r="R37" s="205"/>
      <c r="S37" s="415">
        <v>1281.28</v>
      </c>
      <c r="T37" s="205">
        <v>0</v>
      </c>
      <c r="U37" s="205">
        <v>0</v>
      </c>
      <c r="V37" s="205">
        <v>0</v>
      </c>
      <c r="W37" s="205">
        <v>0</v>
      </c>
      <c r="X37" s="205">
        <v>0</v>
      </c>
      <c r="Y37" s="205">
        <v>0</v>
      </c>
      <c r="Z37" s="206">
        <v>0</v>
      </c>
      <c r="AB37" s="836">
        <v>31</v>
      </c>
      <c r="AC37" s="833">
        <v>1123.8399999999999</v>
      </c>
      <c r="AD37" s="838"/>
      <c r="AE37" s="834"/>
      <c r="AF37" s="838"/>
      <c r="AG37" s="834"/>
      <c r="AH37" s="838"/>
      <c r="AI37" s="834"/>
      <c r="AJ37" s="834"/>
      <c r="AK37" s="838"/>
      <c r="AL37" s="834"/>
      <c r="AM37" s="838"/>
      <c r="AN37" s="835"/>
      <c r="AO37" s="472"/>
      <c r="AP37" s="301"/>
      <c r="AQ37"/>
      <c r="AR37"/>
      <c r="AS37"/>
      <c r="AT37" s="302"/>
      <c r="AU37"/>
      <c r="AV37"/>
      <c r="AW37"/>
      <c r="AX37"/>
      <c r="AY37"/>
      <c r="AZ37"/>
      <c r="BA37"/>
      <c r="BB37"/>
      <c r="BC37"/>
      <c r="BD37"/>
      <c r="BE37"/>
    </row>
    <row r="38" spans="2:57" ht="27" customHeight="1" thickBot="1" x14ac:dyDescent="0.25">
      <c r="B38" s="578">
        <f t="shared" si="1"/>
        <v>28</v>
      </c>
      <c r="C38" s="579" t="s">
        <v>56</v>
      </c>
      <c r="D38" s="579" t="s">
        <v>83</v>
      </c>
      <c r="E38" s="573">
        <v>282.77999999999997</v>
      </c>
      <c r="F38" s="574">
        <v>0.48</v>
      </c>
      <c r="G38" s="584">
        <v>282.95999999999998</v>
      </c>
      <c r="H38" s="584">
        <v>0.48</v>
      </c>
      <c r="I38" s="582">
        <v>283.02999999999997</v>
      </c>
      <c r="J38" s="803">
        <v>0.48499999999999999</v>
      </c>
      <c r="K38" s="576" t="s">
        <v>187</v>
      </c>
      <c r="L38" s="577">
        <f t="shared" si="0"/>
        <v>0</v>
      </c>
      <c r="M38" s="863"/>
      <c r="N38" s="201"/>
      <c r="O38" s="420"/>
      <c r="P38" s="416"/>
      <c r="Q38" s="416"/>
      <c r="R38" s="208"/>
      <c r="S38" s="416"/>
      <c r="T38" s="207"/>
      <c r="U38" s="208"/>
      <c r="V38" s="208"/>
      <c r="W38" s="208"/>
      <c r="X38" s="208"/>
      <c r="Y38" s="208"/>
      <c r="Z38" s="206">
        <v>0</v>
      </c>
      <c r="AB38" s="839"/>
      <c r="AC38" s="840"/>
      <c r="AD38" s="841"/>
      <c r="AE38" s="841"/>
      <c r="AF38" s="841"/>
      <c r="AG38" s="841"/>
      <c r="AH38" s="841"/>
      <c r="AI38" s="841"/>
      <c r="AJ38" s="841"/>
      <c r="AK38" s="841"/>
      <c r="AL38" s="841"/>
      <c r="AM38" s="841"/>
      <c r="AN38" s="842"/>
      <c r="AO38" s="472"/>
      <c r="AP38" s="301"/>
      <c r="AQ38"/>
      <c r="AR38"/>
      <c r="AS38"/>
      <c r="AT38" s="302"/>
      <c r="AU38"/>
      <c r="AV38"/>
      <c r="AW38"/>
      <c r="AX38"/>
      <c r="AY38"/>
      <c r="AZ38"/>
      <c r="BA38"/>
      <c r="BB38"/>
      <c r="BC38"/>
      <c r="BD38"/>
      <c r="BE38"/>
    </row>
    <row r="39" spans="2:57" ht="27" customHeight="1" x14ac:dyDescent="0.2">
      <c r="B39" s="578">
        <f t="shared" si="1"/>
        <v>29</v>
      </c>
      <c r="C39" s="579" t="s">
        <v>57</v>
      </c>
      <c r="D39" s="579" t="s">
        <v>83</v>
      </c>
      <c r="E39" s="573">
        <v>99</v>
      </c>
      <c r="F39" s="574">
        <v>2.8849999999999998</v>
      </c>
      <c r="G39" s="584">
        <v>98.85</v>
      </c>
      <c r="H39" s="584">
        <v>2.7770000000000001</v>
      </c>
      <c r="I39" s="591">
        <v>98.92</v>
      </c>
      <c r="J39" s="804">
        <v>2.8273000000000001</v>
      </c>
      <c r="K39" s="576" t="s">
        <v>187</v>
      </c>
      <c r="L39" s="577">
        <f t="shared" si="0"/>
        <v>0</v>
      </c>
      <c r="M39" s="863"/>
      <c r="N39" s="202" t="s">
        <v>143</v>
      </c>
      <c r="O39" s="203">
        <f>MAX(O7:O38)</f>
        <v>692.87</v>
      </c>
      <c r="P39" s="203">
        <f t="shared" ref="P39:X39" si="2">MAX(P7:P37)</f>
        <v>1032.74</v>
      </c>
      <c r="Q39" s="203">
        <f t="shared" si="2"/>
        <v>1208.5</v>
      </c>
      <c r="R39" s="203">
        <f t="shared" si="2"/>
        <v>1298.76</v>
      </c>
      <c r="S39" s="203">
        <f t="shared" si="2"/>
        <v>1293.04</v>
      </c>
      <c r="T39" s="203">
        <f t="shared" si="2"/>
        <v>1347.06</v>
      </c>
      <c r="U39" s="203">
        <f t="shared" si="2"/>
        <v>0</v>
      </c>
      <c r="V39" s="203">
        <f t="shared" si="2"/>
        <v>0</v>
      </c>
      <c r="W39" s="203">
        <f t="shared" si="2"/>
        <v>0</v>
      </c>
      <c r="X39" s="203">
        <f t="shared" si="2"/>
        <v>0</v>
      </c>
      <c r="Y39" s="203">
        <f>MAX(Y7:Y37)</f>
        <v>0</v>
      </c>
      <c r="Z39" s="203">
        <f>MAX(Z7:Z37)</f>
        <v>0</v>
      </c>
      <c r="AB39" s="843" t="s">
        <v>143</v>
      </c>
      <c r="AC39" s="844">
        <f>IF(AC43&gt;$BV$62,"tad",IF(AC45&gt;$BV$62,"tad",MAX(AC7:AC37)))</f>
        <v>1145.5999999999999</v>
      </c>
      <c r="AD39" s="845">
        <f>IF(AD43&gt;$BV$62,"tad",IF(AD45&gt;$BV$62,"tad",MAX(AD7:AD37)))</f>
        <v>1327.38</v>
      </c>
      <c r="AE39" s="846" t="str">
        <f>IF(AE43&gt;$BV$62,"tad",IF(AE45&gt;$BV$62,"tad",MAX(AE7:AE37)))</f>
        <v>tad</v>
      </c>
      <c r="AF39" s="846" t="str">
        <f t="shared" ref="AF39:AN40" si="3">IF(AF43&gt;$BV$62,"tad",IF(AF45&gt;$BV$62,"tad",MAX(AF7:AF37)))</f>
        <v>tad</v>
      </c>
      <c r="AG39" s="846" t="str">
        <f t="shared" si="3"/>
        <v>tad</v>
      </c>
      <c r="AH39" s="846" t="str">
        <f t="shared" si="3"/>
        <v>tad</v>
      </c>
      <c r="AI39" s="846" t="str">
        <f t="shared" si="3"/>
        <v>tad</v>
      </c>
      <c r="AJ39" s="846" t="str">
        <f t="shared" si="3"/>
        <v>tad</v>
      </c>
      <c r="AK39" s="846" t="str">
        <f t="shared" si="3"/>
        <v>tad</v>
      </c>
      <c r="AL39" s="846" t="str">
        <f t="shared" si="3"/>
        <v>tad</v>
      </c>
      <c r="AM39" s="846" t="str">
        <f t="shared" si="3"/>
        <v>tad</v>
      </c>
      <c r="AN39" s="847" t="str">
        <f t="shared" si="3"/>
        <v>tad</v>
      </c>
      <c r="AO39" s="472"/>
      <c r="AP39" s="301"/>
      <c r="AQ39"/>
      <c r="AR39"/>
      <c r="AS39"/>
      <c r="AT39" s="302"/>
      <c r="AU39"/>
      <c r="AV39"/>
      <c r="AW39"/>
      <c r="AX39"/>
      <c r="AY39"/>
      <c r="AZ39"/>
      <c r="BA39"/>
      <c r="BB39"/>
      <c r="BC39"/>
      <c r="BD39"/>
      <c r="BE39"/>
    </row>
    <row r="40" spans="2:57" ht="27" customHeight="1" x14ac:dyDescent="0.2">
      <c r="B40" s="578">
        <f t="shared" si="1"/>
        <v>30</v>
      </c>
      <c r="C40" s="579" t="s">
        <v>58</v>
      </c>
      <c r="D40" s="579" t="s">
        <v>83</v>
      </c>
      <c r="E40" s="573">
        <v>189.7</v>
      </c>
      <c r="F40" s="573">
        <v>7.9000000000000001E-2</v>
      </c>
      <c r="G40" s="584">
        <v>189.7</v>
      </c>
      <c r="H40" s="584">
        <v>0.08</v>
      </c>
      <c r="I40" s="591">
        <v>189.36</v>
      </c>
      <c r="J40" s="804">
        <v>7.2599999999999998E-2</v>
      </c>
      <c r="K40" s="576" t="s">
        <v>187</v>
      </c>
      <c r="L40" s="577">
        <f t="shared" si="0"/>
        <v>0</v>
      </c>
      <c r="M40" s="864"/>
      <c r="N40" s="198" t="s">
        <v>144</v>
      </c>
      <c r="O40" s="205">
        <f>SUM(O7:O37)/28</f>
        <v>671.79214285714272</v>
      </c>
      <c r="P40" s="205">
        <f>SUM(P7:P37)/28</f>
        <v>910.49571428571448</v>
      </c>
      <c r="Q40" s="205">
        <f t="shared" ref="Q40:V40" si="4">SUM(Q7:Q37)/31</f>
        <v>1124.7044838709678</v>
      </c>
      <c r="R40" s="205">
        <f>SUM(R7:R37)/30</f>
        <v>1274.6516666666662</v>
      </c>
      <c r="S40" s="205">
        <f t="shared" si="4"/>
        <v>1268.91935483871</v>
      </c>
      <c r="T40" s="205">
        <f>SUM(T7:T37)/30</f>
        <v>874.73899999999992</v>
      </c>
      <c r="U40" s="205">
        <f t="shared" si="4"/>
        <v>0</v>
      </c>
      <c r="V40" s="205">
        <f t="shared" si="4"/>
        <v>0</v>
      </c>
      <c r="W40" s="205">
        <f>SUM(W7:W37)/30</f>
        <v>0</v>
      </c>
      <c r="X40" s="205">
        <f>SUM(X7:X37)/30</f>
        <v>0</v>
      </c>
      <c r="Y40" s="205">
        <f>SUM(Y7:Y37)/30</f>
        <v>0</v>
      </c>
      <c r="Z40" s="205">
        <f>SUM(Z7:Z37)/30</f>
        <v>0</v>
      </c>
      <c r="AB40" s="848" t="s">
        <v>144</v>
      </c>
      <c r="AC40" s="849">
        <f t="shared" ref="AC40:AM40" si="5">IF(AC43&gt;$BV$62,"tad",IF(AC45&gt;$BV$62,"tad",AVERAGE(AC7:AC37)))</f>
        <v>1028.8225806451615</v>
      </c>
      <c r="AD40" s="850">
        <f t="shared" si="5"/>
        <v>1245.5632142857141</v>
      </c>
      <c r="AE40" s="850" t="str">
        <f>IF(AE43&gt;$BV$62,"tad",IF(AE45&gt;$BV$62,"tad",AVERAGE(AE7:AE37)))</f>
        <v>tad</v>
      </c>
      <c r="AF40" s="851" t="str">
        <f t="shared" si="5"/>
        <v>tad</v>
      </c>
      <c r="AG40" s="851" t="str">
        <f t="shared" si="5"/>
        <v>tad</v>
      </c>
      <c r="AH40" s="851" t="str">
        <f t="shared" si="5"/>
        <v>tad</v>
      </c>
      <c r="AI40" s="851" t="str">
        <f t="shared" si="5"/>
        <v>tad</v>
      </c>
      <c r="AJ40" s="851" t="str">
        <f t="shared" si="5"/>
        <v>tad</v>
      </c>
      <c r="AK40" s="851" t="str">
        <f t="shared" si="5"/>
        <v>tad</v>
      </c>
      <c r="AL40" s="851" t="str">
        <f t="shared" si="5"/>
        <v>tad</v>
      </c>
      <c r="AM40" s="851" t="str">
        <f t="shared" si="5"/>
        <v>tad</v>
      </c>
      <c r="AN40" s="852" t="str">
        <f t="shared" si="3"/>
        <v>tad</v>
      </c>
      <c r="AO40" s="472"/>
      <c r="AP40" s="301"/>
      <c r="AQ40"/>
      <c r="AR40"/>
      <c r="AS40"/>
      <c r="AT40" s="302"/>
      <c r="AU40"/>
      <c r="AV40"/>
      <c r="AW40"/>
      <c r="AX40"/>
      <c r="AY40"/>
      <c r="AZ40"/>
      <c r="BA40"/>
      <c r="BB40"/>
      <c r="BC40"/>
      <c r="BD40"/>
      <c r="BE40"/>
    </row>
    <row r="41" spans="2:57" ht="27" customHeight="1" thickBot="1" x14ac:dyDescent="0.25">
      <c r="B41" s="578">
        <f t="shared" si="1"/>
        <v>31</v>
      </c>
      <c r="C41" s="579" t="s">
        <v>59</v>
      </c>
      <c r="D41" s="579" t="s">
        <v>83</v>
      </c>
      <c r="E41" s="573">
        <v>171.19</v>
      </c>
      <c r="F41" s="574">
        <v>9.6000000000000002E-2</v>
      </c>
      <c r="G41" s="584">
        <v>171.2</v>
      </c>
      <c r="H41" s="595">
        <v>9.7000000000000003E-2</v>
      </c>
      <c r="I41" s="591">
        <v>171.28</v>
      </c>
      <c r="J41" s="804">
        <v>9.9099999999999994E-2</v>
      </c>
      <c r="K41" s="576" t="s">
        <v>187</v>
      </c>
      <c r="L41" s="577">
        <f t="shared" si="0"/>
        <v>0</v>
      </c>
      <c r="M41" s="864"/>
      <c r="N41" s="199" t="s">
        <v>145</v>
      </c>
      <c r="O41" s="207">
        <f>MIN(O7:O34)</f>
        <v>556.70000000000005</v>
      </c>
      <c r="P41" s="207">
        <f>MIN(P7:P34)</f>
        <v>693.59</v>
      </c>
      <c r="Q41" s="207">
        <f t="shared" ref="Q41:X41" si="6">MIN(Q7:Q37)</f>
        <v>1042.53</v>
      </c>
      <c r="R41" s="207">
        <f>MIN(R7:R36)</f>
        <v>1212.3399999999999</v>
      </c>
      <c r="S41" s="207">
        <f t="shared" si="6"/>
        <v>1252</v>
      </c>
      <c r="T41" s="207">
        <f>MIN(T7:T36)</f>
        <v>0</v>
      </c>
      <c r="U41" s="207">
        <f t="shared" si="6"/>
        <v>0</v>
      </c>
      <c r="V41" s="207">
        <f t="shared" si="6"/>
        <v>0</v>
      </c>
      <c r="W41" s="207">
        <f>MIN(W7:W36)</f>
        <v>0</v>
      </c>
      <c r="X41" s="207">
        <f t="shared" si="6"/>
        <v>0</v>
      </c>
      <c r="Y41" s="207">
        <f>MIN(Y7:Y36)</f>
        <v>0</v>
      </c>
      <c r="Z41" s="207">
        <f>MIN(Z7:Z36)</f>
        <v>0</v>
      </c>
      <c r="AB41" s="853" t="s">
        <v>145</v>
      </c>
      <c r="AC41" s="854">
        <f t="shared" ref="AC41:AN41" si="7">IF(AC43&gt;$BV$62,"tad",IF(AC45&gt;$BV$62,"tad",MIN(AC7:AC37)))</f>
        <v>951.85</v>
      </c>
      <c r="AD41" s="855">
        <f t="shared" si="7"/>
        <v>1146.01</v>
      </c>
      <c r="AE41" s="855" t="str">
        <f t="shared" si="7"/>
        <v>tad</v>
      </c>
      <c r="AF41" s="856" t="str">
        <f t="shared" si="7"/>
        <v>tad</v>
      </c>
      <c r="AG41" s="856" t="str">
        <f t="shared" si="7"/>
        <v>tad</v>
      </c>
      <c r="AH41" s="856" t="str">
        <f t="shared" si="7"/>
        <v>tad</v>
      </c>
      <c r="AI41" s="856" t="str">
        <f t="shared" si="7"/>
        <v>tad</v>
      </c>
      <c r="AJ41" s="856" t="str">
        <f t="shared" si="7"/>
        <v>tad</v>
      </c>
      <c r="AK41" s="856" t="str">
        <f t="shared" si="7"/>
        <v>tad</v>
      </c>
      <c r="AL41" s="856" t="str">
        <f t="shared" si="7"/>
        <v>tad</v>
      </c>
      <c r="AM41" s="856" t="str">
        <f t="shared" si="7"/>
        <v>tad</v>
      </c>
      <c r="AN41" s="857" t="str">
        <f t="shared" si="7"/>
        <v>tad</v>
      </c>
      <c r="AO41" s="472"/>
      <c r="AP41" s="301"/>
      <c r="AQ41"/>
      <c r="AR41"/>
      <c r="AS41"/>
      <c r="AT41" s="302"/>
      <c r="AU41"/>
      <c r="AV41"/>
      <c r="AW41"/>
      <c r="AX41"/>
      <c r="AY41"/>
      <c r="AZ41"/>
      <c r="BA41"/>
      <c r="BB41"/>
      <c r="BC41"/>
      <c r="BD41"/>
      <c r="BE41"/>
    </row>
    <row r="42" spans="2:57" ht="27" customHeight="1" x14ac:dyDescent="0.2">
      <c r="B42" s="578">
        <f t="shared" si="1"/>
        <v>32</v>
      </c>
      <c r="C42" s="579" t="s">
        <v>60</v>
      </c>
      <c r="D42" s="579" t="s">
        <v>84</v>
      </c>
      <c r="E42" s="573">
        <v>142.6</v>
      </c>
      <c r="F42" s="574">
        <v>9.8740000000000006</v>
      </c>
      <c r="G42" s="584">
        <v>140.30000000000001</v>
      </c>
      <c r="H42" s="584">
        <v>9.1560000000000006</v>
      </c>
      <c r="I42" s="582">
        <v>139.63</v>
      </c>
      <c r="J42" s="806">
        <v>7.2649999999999997</v>
      </c>
      <c r="K42" s="576" t="s">
        <v>187</v>
      </c>
      <c r="L42" s="577">
        <f t="shared" si="0"/>
        <v>0</v>
      </c>
      <c r="M42" s="864"/>
      <c r="N42" s="202" t="s">
        <v>146</v>
      </c>
      <c r="O42" s="203">
        <f>(SUM(O7:O21)/15)</f>
        <v>568.70066666666651</v>
      </c>
      <c r="P42" s="203">
        <f t="shared" ref="P42:X42" si="8">(SUM(P7:P21)/15)</f>
        <v>803.51066666666679</v>
      </c>
      <c r="Q42" s="203">
        <f t="shared" si="8"/>
        <v>1085.1319333333333</v>
      </c>
      <c r="R42" s="203">
        <f t="shared" si="8"/>
        <v>1254.7733333333331</v>
      </c>
      <c r="S42" s="203">
        <f t="shared" si="8"/>
        <v>1271.7906666666668</v>
      </c>
      <c r="T42" s="203">
        <f t="shared" si="8"/>
        <v>1304.9606666666666</v>
      </c>
      <c r="U42" s="203">
        <f t="shared" si="8"/>
        <v>0</v>
      </c>
      <c r="V42" s="203">
        <f t="shared" si="8"/>
        <v>0</v>
      </c>
      <c r="W42" s="203">
        <f t="shared" si="8"/>
        <v>0</v>
      </c>
      <c r="X42" s="203">
        <f t="shared" si="8"/>
        <v>0</v>
      </c>
      <c r="Y42" s="203">
        <f>(SUM(Y7:Y21)/15)</f>
        <v>0</v>
      </c>
      <c r="Z42" s="203">
        <f>(SUM(Z7:Z21)/15)</f>
        <v>0</v>
      </c>
      <c r="AB42" s="843" t="s">
        <v>146</v>
      </c>
      <c r="AC42" s="844">
        <f t="shared" ref="AC42:AN42" si="9">IF(AC43&gt;$BV$62,"tad",AVERAGE(AC7:AC21))</f>
        <v>976.25333333333333</v>
      </c>
      <c r="AD42" s="845">
        <f t="shared" si="9"/>
        <v>1192.0666666666666</v>
      </c>
      <c r="AE42" s="845" t="str">
        <f t="shared" si="9"/>
        <v>tad</v>
      </c>
      <c r="AF42" s="846" t="str">
        <f t="shared" si="9"/>
        <v>tad</v>
      </c>
      <c r="AG42" s="846" t="str">
        <f t="shared" si="9"/>
        <v>tad</v>
      </c>
      <c r="AH42" s="846" t="str">
        <f t="shared" si="9"/>
        <v>tad</v>
      </c>
      <c r="AI42" s="846" t="str">
        <f t="shared" si="9"/>
        <v>tad</v>
      </c>
      <c r="AJ42" s="846" t="str">
        <f>IF(AJ43&gt;$BV$62,"tad",AVERAGE(AJ7:AJ21))</f>
        <v>tad</v>
      </c>
      <c r="AK42" s="846" t="str">
        <f t="shared" si="9"/>
        <v>tad</v>
      </c>
      <c r="AL42" s="846" t="str">
        <f t="shared" si="9"/>
        <v>tad</v>
      </c>
      <c r="AM42" s="846" t="str">
        <f t="shared" si="9"/>
        <v>tad</v>
      </c>
      <c r="AN42" s="847" t="str">
        <f t="shared" si="9"/>
        <v>tad</v>
      </c>
      <c r="AO42" s="472"/>
      <c r="AP42" s="301"/>
      <c r="AQ42"/>
      <c r="AR42"/>
      <c r="AS42"/>
      <c r="AT42" s="302"/>
      <c r="AU42"/>
      <c r="AV42"/>
      <c r="AW42"/>
      <c r="AX42"/>
      <c r="AY42"/>
      <c r="AZ42"/>
      <c r="BA42"/>
      <c r="BB42"/>
      <c r="BC42"/>
      <c r="BD42"/>
      <c r="BE42"/>
    </row>
    <row r="43" spans="2:57" ht="29.25" customHeight="1" thickBot="1" x14ac:dyDescent="0.25">
      <c r="B43" s="578">
        <f t="shared" si="1"/>
        <v>33</v>
      </c>
      <c r="C43" s="579" t="s">
        <v>61</v>
      </c>
      <c r="D43" s="579" t="s">
        <v>84</v>
      </c>
      <c r="E43" s="573">
        <v>239.5</v>
      </c>
      <c r="F43" s="574">
        <v>2.6720000000000002</v>
      </c>
      <c r="G43" s="584">
        <v>239.7</v>
      </c>
      <c r="H43" s="595">
        <v>2.8559999999999999</v>
      </c>
      <c r="I43" s="582">
        <v>239.28</v>
      </c>
      <c r="J43" s="806">
        <v>2.5903999999999998</v>
      </c>
      <c r="K43" s="576" t="s">
        <v>187</v>
      </c>
      <c r="L43" s="577">
        <f t="shared" si="0"/>
        <v>0</v>
      </c>
      <c r="M43" s="863"/>
      <c r="N43" s="199" t="s">
        <v>147</v>
      </c>
      <c r="O43" s="207">
        <v>0</v>
      </c>
      <c r="P43" s="207">
        <v>0</v>
      </c>
      <c r="Q43" s="207">
        <v>0</v>
      </c>
      <c r="R43" s="207">
        <v>0</v>
      </c>
      <c r="S43" s="207">
        <v>0</v>
      </c>
      <c r="T43" s="207">
        <v>0</v>
      </c>
      <c r="U43" s="207">
        <v>0</v>
      </c>
      <c r="V43" s="207">
        <v>0</v>
      </c>
      <c r="W43" s="207">
        <v>0</v>
      </c>
      <c r="X43" s="207">
        <v>0</v>
      </c>
      <c r="Y43" s="207">
        <v>0</v>
      </c>
      <c r="Z43" s="207">
        <v>0</v>
      </c>
      <c r="AB43" s="858" t="s">
        <v>147</v>
      </c>
      <c r="AC43" s="854">
        <f t="shared" ref="AC43:AN43" si="10">IF(AR52&gt;0,AR52,0)</f>
        <v>0</v>
      </c>
      <c r="AD43" s="855">
        <f>IF(AS52&gt;0,AS52,0)</f>
        <v>0</v>
      </c>
      <c r="AE43" s="855">
        <f t="shared" si="10"/>
        <v>15</v>
      </c>
      <c r="AF43" s="855">
        <f t="shared" si="10"/>
        <v>15</v>
      </c>
      <c r="AG43" s="855">
        <f t="shared" si="10"/>
        <v>15</v>
      </c>
      <c r="AH43" s="855">
        <f t="shared" si="10"/>
        <v>15</v>
      </c>
      <c r="AI43" s="855">
        <f t="shared" si="10"/>
        <v>15</v>
      </c>
      <c r="AJ43" s="855">
        <f t="shared" si="10"/>
        <v>15</v>
      </c>
      <c r="AK43" s="855">
        <f t="shared" si="10"/>
        <v>15</v>
      </c>
      <c r="AL43" s="855">
        <f t="shared" si="10"/>
        <v>15</v>
      </c>
      <c r="AM43" s="855">
        <f t="shared" si="10"/>
        <v>15</v>
      </c>
      <c r="AN43" s="859">
        <f t="shared" si="10"/>
        <v>15</v>
      </c>
      <c r="AO43" s="472"/>
      <c r="AP43" s="301"/>
      <c r="AQ43"/>
      <c r="AR43"/>
      <c r="AS43"/>
      <c r="AT43" s="302"/>
      <c r="AU43"/>
      <c r="AV43"/>
      <c r="AW43"/>
      <c r="AX43"/>
      <c r="AY43"/>
      <c r="AZ43"/>
      <c r="BA43"/>
      <c r="BB43"/>
      <c r="BC43"/>
      <c r="BD43"/>
      <c r="BE43"/>
    </row>
    <row r="44" spans="2:57" ht="27" customHeight="1" x14ac:dyDescent="0.2">
      <c r="B44" s="578">
        <f t="shared" si="1"/>
        <v>34</v>
      </c>
      <c r="C44" s="579" t="s">
        <v>62</v>
      </c>
      <c r="D44" s="579" t="s">
        <v>85</v>
      </c>
      <c r="E44" s="573">
        <v>120.5</v>
      </c>
      <c r="F44" s="574">
        <v>4.1539999999999999</v>
      </c>
      <c r="G44" s="584">
        <v>120.75</v>
      </c>
      <c r="H44" s="584">
        <v>4.1539999999999999</v>
      </c>
      <c r="I44" s="582">
        <v>120.6</v>
      </c>
      <c r="J44" s="803">
        <v>3.8681000000000001</v>
      </c>
      <c r="K44" s="576" t="s">
        <v>187</v>
      </c>
      <c r="L44" s="577">
        <f t="shared" si="0"/>
        <v>0</v>
      </c>
      <c r="M44" s="863"/>
      <c r="N44" s="200" t="s">
        <v>148</v>
      </c>
      <c r="O44" s="209">
        <f>SUM(O22:O37)/15</f>
        <v>685.31133333333332</v>
      </c>
      <c r="P44" s="209">
        <f>SUM(P22:P37)/12</f>
        <v>1120.1016666666665</v>
      </c>
      <c r="Q44" s="209">
        <f t="shared" ref="Q44:V44" si="11">SUM(Q22:Q37)/15</f>
        <v>1239.2573333333335</v>
      </c>
      <c r="R44" s="209">
        <f>SUM(R22:R37)/14</f>
        <v>1386.9964285714286</v>
      </c>
      <c r="S44" s="209">
        <f t="shared" si="11"/>
        <v>1350.6426666666666</v>
      </c>
      <c r="T44" s="209">
        <f>SUM(T22:T37)/14</f>
        <v>476.26857142857142</v>
      </c>
      <c r="U44" s="209">
        <f t="shared" si="11"/>
        <v>0</v>
      </c>
      <c r="V44" s="209">
        <f t="shared" si="11"/>
        <v>0</v>
      </c>
      <c r="W44" s="203">
        <f>(SUM(W22:W36)/15)</f>
        <v>0</v>
      </c>
      <c r="X44" s="203">
        <f>(SUM(X22:X36)/15)</f>
        <v>0</v>
      </c>
      <c r="Y44" s="203">
        <f>(SUM(Y22:Y36)/8)</f>
        <v>0</v>
      </c>
      <c r="Z44" s="203">
        <f>(SUM(Z22:Z36)/8)</f>
        <v>0</v>
      </c>
      <c r="AB44" s="843" t="s">
        <v>148</v>
      </c>
      <c r="AC44" s="844">
        <f>IF(AC45&gt;$BV$62,"tad",AVERAGE(AC22:AC37))</f>
        <v>1078.1062499999998</v>
      </c>
      <c r="AD44" s="845">
        <f t="shared" ref="AD44:AN44" si="12">IF(AD45&gt;$BV$62,"tad",AVERAGE(AD22:AD37))</f>
        <v>1307.29</v>
      </c>
      <c r="AE44" s="845" t="str">
        <f t="shared" si="12"/>
        <v>tad</v>
      </c>
      <c r="AF44" s="845" t="str">
        <f t="shared" si="12"/>
        <v>tad</v>
      </c>
      <c r="AG44" s="845" t="str">
        <f t="shared" si="12"/>
        <v>tad</v>
      </c>
      <c r="AH44" s="845" t="str">
        <f t="shared" si="12"/>
        <v>tad</v>
      </c>
      <c r="AI44" s="845" t="str">
        <f t="shared" si="12"/>
        <v>tad</v>
      </c>
      <c r="AJ44" s="845" t="str">
        <f>IF(AJ45&gt;$BV$62,"tad",AVERAGE(AJ22:AJ37))</f>
        <v>tad</v>
      </c>
      <c r="AK44" s="845" t="str">
        <f t="shared" si="12"/>
        <v>tad</v>
      </c>
      <c r="AL44" s="845" t="str">
        <f t="shared" si="12"/>
        <v>tad</v>
      </c>
      <c r="AM44" s="845" t="str">
        <f t="shared" si="12"/>
        <v>tad</v>
      </c>
      <c r="AN44" s="860" t="str">
        <f t="shared" si="12"/>
        <v>tad</v>
      </c>
      <c r="AO44" s="472"/>
      <c r="AP44" s="301"/>
      <c r="AQ44"/>
      <c r="AR44"/>
      <c r="AS44"/>
      <c r="AT44" s="302"/>
      <c r="AU44"/>
      <c r="AV44"/>
      <c r="AW44"/>
      <c r="AX44"/>
      <c r="AY44"/>
      <c r="AZ44"/>
      <c r="BA44"/>
      <c r="BB44"/>
      <c r="BC44"/>
      <c r="BD44"/>
      <c r="BE44"/>
    </row>
    <row r="45" spans="2:57" ht="27" customHeight="1" thickBot="1" x14ac:dyDescent="0.25">
      <c r="B45" s="578">
        <f t="shared" si="1"/>
        <v>35</v>
      </c>
      <c r="C45" s="579" t="s">
        <v>63</v>
      </c>
      <c r="D45" s="579" t="s">
        <v>86</v>
      </c>
      <c r="E45" s="573">
        <v>110.56</v>
      </c>
      <c r="F45" s="574">
        <v>2.75</v>
      </c>
      <c r="G45" s="584">
        <v>110.36</v>
      </c>
      <c r="H45" s="584">
        <v>2.371</v>
      </c>
      <c r="I45" s="582">
        <v>110.53</v>
      </c>
      <c r="J45" s="803">
        <v>2.6930999999999998</v>
      </c>
      <c r="K45" s="576" t="s">
        <v>187</v>
      </c>
      <c r="L45" s="577">
        <f t="shared" si="0"/>
        <v>0</v>
      </c>
      <c r="M45" s="863"/>
      <c r="N45" s="199" t="s">
        <v>147</v>
      </c>
      <c r="O45" s="207">
        <v>0</v>
      </c>
      <c r="P45" s="207">
        <v>0</v>
      </c>
      <c r="Q45" s="207">
        <v>0</v>
      </c>
      <c r="R45" s="207">
        <v>0</v>
      </c>
      <c r="S45" s="207">
        <v>0</v>
      </c>
      <c r="T45" s="207">
        <v>0</v>
      </c>
      <c r="U45" s="207">
        <v>0</v>
      </c>
      <c r="V45" s="207">
        <v>0</v>
      </c>
      <c r="W45" s="207">
        <v>0</v>
      </c>
      <c r="X45" s="207">
        <v>0</v>
      </c>
      <c r="Y45" s="207">
        <v>0</v>
      </c>
      <c r="Z45" s="207">
        <v>0</v>
      </c>
      <c r="AB45" s="858" t="s">
        <v>147</v>
      </c>
      <c r="AC45" s="854">
        <f t="shared" ref="AC45:AN45" si="13">IF(AR58&gt;0,AR58,0)</f>
        <v>0</v>
      </c>
      <c r="AD45" s="855">
        <f>IF(AS58&gt;0,AS58,0)</f>
        <v>0</v>
      </c>
      <c r="AE45" s="855">
        <f t="shared" si="13"/>
        <v>16</v>
      </c>
      <c r="AF45" s="855">
        <f t="shared" si="13"/>
        <v>15</v>
      </c>
      <c r="AG45" s="855">
        <f t="shared" si="13"/>
        <v>16</v>
      </c>
      <c r="AH45" s="855">
        <f t="shared" si="13"/>
        <v>15</v>
      </c>
      <c r="AI45" s="855">
        <f t="shared" si="13"/>
        <v>16</v>
      </c>
      <c r="AJ45" s="855">
        <f t="shared" si="13"/>
        <v>16</v>
      </c>
      <c r="AK45" s="855">
        <f t="shared" si="13"/>
        <v>15</v>
      </c>
      <c r="AL45" s="855">
        <f t="shared" si="13"/>
        <v>16</v>
      </c>
      <c r="AM45" s="855">
        <f t="shared" si="13"/>
        <v>15</v>
      </c>
      <c r="AN45" s="859">
        <f t="shared" si="13"/>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67.900000000000006</v>
      </c>
      <c r="H46" s="574">
        <v>26.600999999999999</v>
      </c>
      <c r="I46" s="582">
        <v>65.790000000000006</v>
      </c>
      <c r="J46" s="799">
        <v>22.573</v>
      </c>
      <c r="K46" s="576" t="s">
        <v>64</v>
      </c>
      <c r="L46" s="577">
        <f t="shared" si="0"/>
        <v>0</v>
      </c>
      <c r="M46" s="863"/>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1"/>
        <v>37</v>
      </c>
      <c r="C47" s="579" t="s">
        <v>65</v>
      </c>
      <c r="D47" s="579" t="s">
        <v>87</v>
      </c>
      <c r="E47" s="573">
        <v>185</v>
      </c>
      <c r="F47" s="574">
        <v>388.72199999999998</v>
      </c>
      <c r="G47" s="582">
        <v>171.1</v>
      </c>
      <c r="H47" s="583">
        <v>253.61799999999999</v>
      </c>
      <c r="I47" s="582">
        <v>175.32</v>
      </c>
      <c r="J47" s="799">
        <v>293.041</v>
      </c>
      <c r="K47" s="576" t="s">
        <v>188</v>
      </c>
      <c r="L47" s="577">
        <f t="shared" si="0"/>
        <v>0</v>
      </c>
      <c r="M47" s="863"/>
      <c r="AB47" s="880" t="s">
        <v>336</v>
      </c>
      <c r="AC47" s="881"/>
      <c r="AD47" s="881"/>
      <c r="AE47" s="881"/>
      <c r="AF47" s="881"/>
      <c r="AG47" s="881"/>
      <c r="AH47" s="881"/>
      <c r="AI47" s="881"/>
      <c r="AJ47" s="881"/>
      <c r="AK47" s="881"/>
      <c r="AL47" s="881"/>
      <c r="AM47" s="881"/>
      <c r="AN47" s="881"/>
      <c r="AO47" s="882"/>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229</v>
      </c>
      <c r="H48" s="583">
        <v>5.181</v>
      </c>
      <c r="I48" s="582">
        <v>229.59</v>
      </c>
      <c r="J48" s="799">
        <v>8.0489999999999995</v>
      </c>
      <c r="K48" s="576" t="s">
        <v>189</v>
      </c>
      <c r="L48" s="577">
        <f t="shared" si="0"/>
        <v>0</v>
      </c>
      <c r="M48" s="723"/>
      <c r="N48" s="433"/>
      <c r="AB48" s="875"/>
      <c r="AC48" s="876"/>
      <c r="AD48" s="876"/>
      <c r="AE48" s="876"/>
      <c r="AF48" s="876"/>
      <c r="AG48" s="876"/>
      <c r="AH48" s="876"/>
      <c r="AI48" s="876"/>
      <c r="AJ48" s="876"/>
      <c r="AK48" s="876"/>
      <c r="AL48" s="876"/>
      <c r="AM48" s="876"/>
      <c r="AN48" s="876"/>
      <c r="AO48" s="877"/>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x14ac:dyDescent="0.2">
      <c r="B49" s="571">
        <v>39</v>
      </c>
      <c r="C49" s="572" t="s">
        <v>212</v>
      </c>
      <c r="D49" s="572" t="s">
        <v>76</v>
      </c>
      <c r="E49" s="580">
        <v>149.30000000000001</v>
      </c>
      <c r="F49" s="581">
        <v>17.670000000000002</v>
      </c>
      <c r="G49" s="580">
        <v>146.06</v>
      </c>
      <c r="H49" s="581">
        <v>8.5</v>
      </c>
      <c r="I49" s="580">
        <v>149.41999999999999</v>
      </c>
      <c r="J49" s="800">
        <v>11.04</v>
      </c>
      <c r="K49" s="576" t="s">
        <v>215</v>
      </c>
      <c r="L49" s="577">
        <f t="shared" si="0"/>
        <v>0</v>
      </c>
      <c r="M49" s="865"/>
      <c r="AB49" s="479"/>
      <c r="AC49" s="480"/>
      <c r="AD49" s="480"/>
      <c r="AE49" s="480"/>
      <c r="AF49" s="480"/>
      <c r="AG49" s="480"/>
      <c r="AH49" s="480"/>
      <c r="AI49" s="480"/>
      <c r="AJ49" s="480"/>
      <c r="AK49" s="480"/>
      <c r="AL49" s="480"/>
      <c r="AM49" s="480"/>
      <c r="AN49" s="480"/>
      <c r="AO49" s="478"/>
      <c r="AP49" s="303">
        <f>MAX(AC7:AN37)</f>
        <v>1327.38</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213</v>
      </c>
      <c r="D50" s="579" t="s">
        <v>80</v>
      </c>
      <c r="E50" s="573">
        <v>39</v>
      </c>
      <c r="F50" s="574">
        <v>0.47399999999999998</v>
      </c>
      <c r="G50" s="573">
        <v>37.590000000000003</v>
      </c>
      <c r="H50" s="574">
        <v>0.32900000000000001</v>
      </c>
      <c r="I50" s="735">
        <v>39</v>
      </c>
      <c r="J50" s="801">
        <v>0.47</v>
      </c>
      <c r="K50" s="576"/>
      <c r="L50" s="577">
        <f t="shared" si="0"/>
        <v>0</v>
      </c>
      <c r="M50" s="866"/>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96">
        <v>41</v>
      </c>
      <c r="C51" s="597" t="s">
        <v>214</v>
      </c>
      <c r="D51" s="597" t="s">
        <v>80</v>
      </c>
      <c r="E51" s="598">
        <v>70</v>
      </c>
      <c r="F51" s="599">
        <v>0.81699999999999995</v>
      </c>
      <c r="G51" s="598">
        <v>64.2</v>
      </c>
      <c r="H51" s="599">
        <v>7.1999999999999995E-2</v>
      </c>
      <c r="I51" s="736">
        <v>70.05</v>
      </c>
      <c r="J51" s="802">
        <v>0.753</v>
      </c>
      <c r="K51" s="576"/>
      <c r="L51" s="577">
        <f t="shared" si="0"/>
        <v>0</v>
      </c>
      <c r="M51" s="866"/>
      <c r="AB51" s="479"/>
      <c r="AC51" s="480"/>
      <c r="AD51" s="480"/>
      <c r="AE51" s="480"/>
      <c r="AF51" s="480"/>
      <c r="AG51" s="480"/>
      <c r="AH51" s="480"/>
      <c r="AI51" s="480"/>
      <c r="AJ51" s="480"/>
      <c r="AK51" s="480"/>
      <c r="AL51" s="480"/>
      <c r="AM51" s="480"/>
      <c r="AN51" s="480"/>
      <c r="AO51" s="478"/>
      <c r="AP51" s="301"/>
      <c r="AQ51" s="272" t="s">
        <v>199</v>
      </c>
      <c r="AR51" s="272">
        <f t="shared" ref="AR51:BC51" si="14">COUNT(AC7:AC21)</f>
        <v>15</v>
      </c>
      <c r="AS51" s="272">
        <f t="shared" si="14"/>
        <v>15</v>
      </c>
      <c r="AT51" s="272">
        <f t="shared" si="14"/>
        <v>0</v>
      </c>
      <c r="AU51" s="272">
        <f t="shared" si="14"/>
        <v>0</v>
      </c>
      <c r="AV51" s="272">
        <f t="shared" si="14"/>
        <v>0</v>
      </c>
      <c r="AW51" s="272">
        <f t="shared" si="14"/>
        <v>0</v>
      </c>
      <c r="AX51" s="272">
        <f t="shared" si="14"/>
        <v>0</v>
      </c>
      <c r="AY51" s="272">
        <f t="shared" si="14"/>
        <v>0</v>
      </c>
      <c r="AZ51" s="272">
        <f t="shared" si="14"/>
        <v>0</v>
      </c>
      <c r="BA51" s="272">
        <f t="shared" si="14"/>
        <v>0</v>
      </c>
      <c r="BB51" s="272">
        <f t="shared" si="14"/>
        <v>0</v>
      </c>
      <c r="BC51" s="272">
        <f t="shared" si="14"/>
        <v>0</v>
      </c>
      <c r="BD51"/>
      <c r="BE51"/>
    </row>
    <row r="52" spans="2:57" ht="27" customHeight="1" thickBot="1" x14ac:dyDescent="0.25">
      <c r="B52" s="600"/>
      <c r="C52" s="601" t="s">
        <v>67</v>
      </c>
      <c r="D52" s="601"/>
      <c r="E52" s="602"/>
      <c r="F52" s="603">
        <f>SUM(F11:F51)</f>
        <v>1757.5185980000001</v>
      </c>
      <c r="G52" s="602"/>
      <c r="H52" s="603">
        <f>SUM(H11:H51)</f>
        <v>1124.9601209999996</v>
      </c>
      <c r="I52" s="602"/>
      <c r="J52" s="604">
        <f>SUM(J11:J51)</f>
        <v>1327.3836999999999</v>
      </c>
      <c r="K52" s="605"/>
      <c r="L52" s="606"/>
      <c r="M52" s="867"/>
      <c r="AB52" s="479"/>
      <c r="AC52" s="480"/>
      <c r="AD52" s="480"/>
      <c r="AE52" s="480"/>
      <c r="AF52" s="480"/>
      <c r="AG52" s="480"/>
      <c r="AH52" s="480"/>
      <c r="AI52" s="480"/>
      <c r="AJ52" s="480"/>
      <c r="AK52" s="480"/>
      <c r="AL52" s="480"/>
      <c r="AM52" s="480"/>
      <c r="AN52" s="480"/>
      <c r="AO52" s="478"/>
      <c r="AP52" s="305">
        <f>COUNT(AC42:AN42)</f>
        <v>2</v>
      </c>
      <c r="AQ52" t="s">
        <v>200</v>
      </c>
      <c r="AR52">
        <f t="shared" ref="AR52:BC52" si="15">AR50-AR51</f>
        <v>0</v>
      </c>
      <c r="AS52">
        <f t="shared" si="15"/>
        <v>0</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607" t="s">
        <v>68</v>
      </c>
      <c r="C53" s="608" t="s">
        <v>69</v>
      </c>
      <c r="D53" s="608"/>
      <c r="E53" s="609"/>
      <c r="F53" s="610"/>
      <c r="G53" s="611"/>
      <c r="H53" s="612">
        <v>1</v>
      </c>
      <c r="I53" s="609"/>
      <c r="J53" s="613">
        <f>IFERROR(+J52/H52,0)</f>
        <v>1.1799384486803512</v>
      </c>
      <c r="K53" s="614"/>
      <c r="L53" s="615"/>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274</v>
      </c>
      <c r="C54" s="496"/>
      <c r="D54" s="465"/>
      <c r="E54" s="467">
        <f>'RINCI 1'!E18</f>
        <v>1681.6225980000002</v>
      </c>
      <c r="F54" s="885">
        <v>1</v>
      </c>
      <c r="G54" s="885">
        <f>+H52/F52*100%</f>
        <v>0.64008433383303498</v>
      </c>
      <c r="H54" s="885"/>
      <c r="I54" s="886">
        <f>+J52/F52</f>
        <v>0.75526011588754738</v>
      </c>
      <c r="J54" s="886"/>
      <c r="K54" s="887"/>
      <c r="L54" s="887"/>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275</v>
      </c>
      <c r="C55" s="496"/>
      <c r="D55" s="465"/>
      <c r="E55" s="468">
        <f>F52-E54</f>
        <v>75.895999999999958</v>
      </c>
      <c r="F55" s="885"/>
      <c r="G55" s="885"/>
      <c r="H55" s="885"/>
      <c r="I55" s="886"/>
      <c r="J55" s="886"/>
      <c r="K55" s="887"/>
      <c r="L55" s="887"/>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27</v>
      </c>
      <c r="G57" s="620" t="s">
        <v>258</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2</v>
      </c>
      <c r="AQ57" s="272" t="s">
        <v>199</v>
      </c>
      <c r="AR57" s="272">
        <f t="shared" ref="AR57:BC57" si="16">COUNT(AC22:AC37)</f>
        <v>16</v>
      </c>
      <c r="AS57" s="272">
        <f t="shared" si="16"/>
        <v>13</v>
      </c>
      <c r="AT57" s="272">
        <f t="shared" si="16"/>
        <v>0</v>
      </c>
      <c r="AU57" s="272">
        <f t="shared" si="16"/>
        <v>0</v>
      </c>
      <c r="AV57" s="272">
        <f>COUNT(AG22:AG37)</f>
        <v>0</v>
      </c>
      <c r="AW57" s="272">
        <f t="shared" si="16"/>
        <v>0</v>
      </c>
      <c r="AX57" s="272">
        <f t="shared" si="16"/>
        <v>0</v>
      </c>
      <c r="AY57" s="272">
        <f t="shared" si="16"/>
        <v>0</v>
      </c>
      <c r="AZ57" s="272">
        <f t="shared" si="16"/>
        <v>0</v>
      </c>
      <c r="BA57" s="272">
        <f t="shared" si="16"/>
        <v>0</v>
      </c>
      <c r="BB57" s="272">
        <f t="shared" si="16"/>
        <v>0</v>
      </c>
      <c r="BC57" s="272">
        <f t="shared" si="16"/>
        <v>0</v>
      </c>
      <c r="BD57"/>
      <c r="BE57"/>
    </row>
    <row r="58" spans="2:57" ht="27" customHeight="1" x14ac:dyDescent="0.2">
      <c r="B58" s="426" t="s">
        <v>18</v>
      </c>
      <c r="C58" s="429" t="s">
        <v>19</v>
      </c>
      <c r="D58" s="429" t="s">
        <v>73</v>
      </c>
      <c r="E58" s="915" t="s">
        <v>20</v>
      </c>
      <c r="F58" s="916"/>
      <c r="G58" s="915" t="s">
        <v>94</v>
      </c>
      <c r="H58" s="916"/>
      <c r="I58" s="915" t="s">
        <v>22</v>
      </c>
      <c r="J58" s="916"/>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7">AR56-AR57</f>
        <v>0</v>
      </c>
      <c r="AS58">
        <f t="shared" si="17"/>
        <v>0</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306</v>
      </c>
      <c r="AU60" s="309" t="s">
        <v>203</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55.73</v>
      </c>
      <c r="H62" s="285">
        <v>30.887</v>
      </c>
      <c r="I62" s="285">
        <v>55.2</v>
      </c>
      <c r="J62" s="285">
        <v>27.895</v>
      </c>
      <c r="K62" s="348" t="str">
        <f>IF(I62&gt;E62,"Limpas","")</f>
        <v/>
      </c>
      <c r="L62" s="807"/>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x14ac:dyDescent="0.2">
      <c r="B63" s="332">
        <v>2</v>
      </c>
      <c r="C63" s="381" t="s">
        <v>29</v>
      </c>
      <c r="D63" s="381" t="s">
        <v>74</v>
      </c>
      <c r="E63" s="352">
        <v>339.5</v>
      </c>
      <c r="F63" s="377">
        <v>7.77</v>
      </c>
      <c r="G63" s="286">
        <v>338.7</v>
      </c>
      <c r="H63" s="333">
        <v>7.0949999999999998</v>
      </c>
      <c r="I63" s="286">
        <v>339.26</v>
      </c>
      <c r="J63" s="333">
        <v>7.7519999999999998</v>
      </c>
      <c r="K63" s="348"/>
      <c r="L63" s="808"/>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18">+B63+1</f>
        <v>3</v>
      </c>
      <c r="C64" s="381" t="s">
        <v>30</v>
      </c>
      <c r="D64" s="381" t="s">
        <v>75</v>
      </c>
      <c r="E64" s="374">
        <v>77.5</v>
      </c>
      <c r="F64" s="351">
        <v>49.02</v>
      </c>
      <c r="G64" s="286">
        <v>74.11</v>
      </c>
      <c r="H64" s="333">
        <v>29.640999999999998</v>
      </c>
      <c r="I64" s="286">
        <v>77.41</v>
      </c>
      <c r="J64" s="333">
        <v>48.433</v>
      </c>
      <c r="K64" s="348" t="str">
        <f>IF(I64&gt;E64,"Limpas","")</f>
        <v/>
      </c>
      <c r="L64" s="808"/>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18"/>
        <v>4</v>
      </c>
      <c r="C65" s="381" t="s">
        <v>31</v>
      </c>
      <c r="D65" s="381" t="s">
        <v>76</v>
      </c>
      <c r="E65" s="374">
        <v>463.3</v>
      </c>
      <c r="F65" s="351">
        <v>49.9</v>
      </c>
      <c r="G65" s="373">
        <v>462.39</v>
      </c>
      <c r="H65" s="373">
        <v>35.720999999999997</v>
      </c>
      <c r="I65" s="351">
        <v>462.51</v>
      </c>
      <c r="J65" s="333">
        <v>37.985999999999997</v>
      </c>
      <c r="K65" s="348" t="str">
        <f>IF(I65&gt;E65,"Limpas","")</f>
        <v/>
      </c>
      <c r="L65" s="809"/>
      <c r="M65" s="447"/>
      <c r="N65" s="192"/>
      <c r="AB65" s="310" t="s">
        <v>206</v>
      </c>
      <c r="AC65"/>
      <c r="AD65"/>
      <c r="AE65"/>
      <c r="AF65"/>
      <c r="AG65"/>
      <c r="AH65"/>
      <c r="AI65"/>
      <c r="AJ65"/>
      <c r="AK65"/>
      <c r="AL65"/>
      <c r="AM65"/>
      <c r="AN65"/>
      <c r="AO65"/>
      <c r="AP65" s="301"/>
      <c r="AQ65" s="31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x14ac:dyDescent="0.25">
      <c r="B66" s="332">
        <f t="shared" si="18"/>
        <v>5</v>
      </c>
      <c r="C66" s="381" t="s">
        <v>32</v>
      </c>
      <c r="D66" s="381" t="s">
        <v>77</v>
      </c>
      <c r="E66" s="374">
        <v>207</v>
      </c>
      <c r="F66" s="351">
        <v>9.5030000000000001</v>
      </c>
      <c r="G66" s="286">
        <v>205.3</v>
      </c>
      <c r="H66" s="287">
        <v>7.3540000000000001</v>
      </c>
      <c r="I66" s="725">
        <v>206.3</v>
      </c>
      <c r="J66" s="285">
        <v>8.67</v>
      </c>
      <c r="K66" s="348"/>
      <c r="L66" s="810"/>
      <c r="M66" s="452"/>
      <c r="N66" s="192"/>
      <c r="AB66"/>
      <c r="AC66" t="s">
        <v>207</v>
      </c>
      <c r="AD66"/>
      <c r="AE66"/>
      <c r="AF66"/>
      <c r="AG66"/>
      <c r="AH66"/>
      <c r="AI66"/>
      <c r="AJ66"/>
      <c r="AK66"/>
      <c r="AL66"/>
      <c r="AM66" s="311" t="e">
        <f>+#REF!&amp;"  hari"</f>
        <v>#REF!</v>
      </c>
      <c r="AN66"/>
      <c r="AO66"/>
      <c r="AP66" s="301"/>
      <c r="AQ66" s="313">
        <f t="shared" ref="AQ66:AQ126" si="21">AQ65+1</f>
        <v>2</v>
      </c>
      <c r="AR66">
        <f t="shared" si="19"/>
        <v>966.67</v>
      </c>
      <c r="AS66">
        <f t="shared" si="20"/>
        <v>0</v>
      </c>
      <c r="AT66"/>
      <c r="AU66"/>
      <c r="AV66"/>
      <c r="AW66"/>
      <c r="AX66"/>
      <c r="AY66"/>
      <c r="AZ66"/>
      <c r="BA66"/>
      <c r="BB66"/>
      <c r="BC66"/>
      <c r="BD66"/>
      <c r="BE66"/>
    </row>
    <row r="67" spans="2:57" ht="27" customHeight="1" x14ac:dyDescent="0.25">
      <c r="B67" s="332">
        <f t="shared" si="18"/>
        <v>6</v>
      </c>
      <c r="C67" s="381" t="s">
        <v>33</v>
      </c>
      <c r="D67" s="381" t="s">
        <v>77</v>
      </c>
      <c r="E67" s="374">
        <v>320</v>
      </c>
      <c r="F67" s="351">
        <v>5.1509999999999998</v>
      </c>
      <c r="G67" s="286">
        <v>316.26</v>
      </c>
      <c r="H67" s="287">
        <v>3.4660000000000002</v>
      </c>
      <c r="I67" s="732">
        <v>317.35000000000002</v>
      </c>
      <c r="J67" s="791">
        <v>3.9460000000000002</v>
      </c>
      <c r="K67" s="348" t="str">
        <f>IF(I67&gt;E67,"Limpas","")</f>
        <v/>
      </c>
      <c r="L67" s="810"/>
      <c r="M67" s="452"/>
      <c r="N67" s="192"/>
      <c r="AB67"/>
      <c r="AC67" t="s">
        <v>208</v>
      </c>
      <c r="AD67"/>
      <c r="AE67"/>
      <c r="AF67"/>
      <c r="AG67"/>
      <c r="AH67"/>
      <c r="AI67"/>
      <c r="AJ67"/>
      <c r="AK67"/>
      <c r="AL67"/>
      <c r="AM67"/>
      <c r="AN67"/>
      <c r="AO67"/>
      <c r="AP67" s="301"/>
      <c r="AQ67" s="313">
        <f t="shared" si="21"/>
        <v>3</v>
      </c>
      <c r="AR67">
        <f t="shared" si="19"/>
        <v>966.49</v>
      </c>
      <c r="AS67">
        <f t="shared" si="20"/>
        <v>0</v>
      </c>
      <c r="AT67"/>
      <c r="AU67"/>
      <c r="AV67"/>
      <c r="AW67"/>
      <c r="AX67"/>
      <c r="AY67"/>
      <c r="AZ67"/>
      <c r="BA67"/>
      <c r="BB67"/>
      <c r="BC67"/>
      <c r="BD67"/>
      <c r="BE67"/>
    </row>
    <row r="68" spans="2:57" ht="27" customHeight="1" x14ac:dyDescent="0.25">
      <c r="B68" s="332">
        <f t="shared" si="18"/>
        <v>7</v>
      </c>
      <c r="C68" s="381" t="s">
        <v>34</v>
      </c>
      <c r="D68" s="381" t="s">
        <v>78</v>
      </c>
      <c r="E68" s="374">
        <v>90</v>
      </c>
      <c r="F68" s="351">
        <v>689.09100000000001</v>
      </c>
      <c r="G68" s="286">
        <v>85.14</v>
      </c>
      <c r="H68" s="286">
        <v>466.26100000000002</v>
      </c>
      <c r="I68" s="725">
        <v>88.59</v>
      </c>
      <c r="J68" s="333">
        <v>616.10199999999998</v>
      </c>
      <c r="K68" s="348" t="str">
        <f>IF(I68&gt;E68,"Limpas","")</f>
        <v/>
      </c>
      <c r="L68" s="810"/>
      <c r="M68" s="452"/>
      <c r="N68" s="192"/>
      <c r="AB68"/>
      <c r="AC68"/>
      <c r="AD68"/>
      <c r="AE68"/>
      <c r="AF68"/>
      <c r="AG68"/>
      <c r="AH68"/>
      <c r="AI68"/>
      <c r="AJ68"/>
      <c r="AK68"/>
      <c r="AL68"/>
      <c r="AM68"/>
      <c r="AN68"/>
      <c r="AO68"/>
      <c r="AP68" s="301"/>
      <c r="AQ68" s="313">
        <f t="shared" si="21"/>
        <v>4</v>
      </c>
      <c r="AR68">
        <f t="shared" si="19"/>
        <v>977</v>
      </c>
      <c r="AS68">
        <f t="shared" si="20"/>
        <v>0</v>
      </c>
      <c r="AT68"/>
      <c r="AU68"/>
      <c r="AV68"/>
      <c r="AW68"/>
      <c r="AX68"/>
      <c r="AY68"/>
      <c r="AZ68"/>
      <c r="BA68"/>
      <c r="BB68"/>
      <c r="BC68"/>
      <c r="BD68"/>
      <c r="BE68"/>
    </row>
    <row r="69" spans="2:57" ht="27" customHeight="1" x14ac:dyDescent="0.2">
      <c r="B69" s="332">
        <f t="shared" si="18"/>
        <v>8</v>
      </c>
      <c r="C69" s="381" t="s">
        <v>35</v>
      </c>
      <c r="D69" s="381" t="s">
        <v>79</v>
      </c>
      <c r="E69" s="374">
        <v>120.5</v>
      </c>
      <c r="F69" s="351">
        <v>2.0920000000000001</v>
      </c>
      <c r="G69" s="286">
        <v>118.44</v>
      </c>
      <c r="H69" s="333">
        <v>1.232</v>
      </c>
      <c r="I69" s="375">
        <v>117.33</v>
      </c>
      <c r="J69" s="285">
        <v>0.64900000000000002</v>
      </c>
      <c r="K69" s="348" t="str">
        <f>IF(I69&gt;E69,"Limpas","")</f>
        <v/>
      </c>
      <c r="L69" s="811"/>
      <c r="M69" s="452"/>
      <c r="N69" s="192"/>
      <c r="AB69"/>
      <c r="AC69"/>
      <c r="AD69"/>
      <c r="AE69"/>
      <c r="AF69"/>
      <c r="AG69"/>
      <c r="AH69"/>
      <c r="AI69"/>
      <c r="AJ69"/>
      <c r="AK69"/>
      <c r="AL69"/>
      <c r="AM69"/>
      <c r="AN69"/>
      <c r="AO69"/>
      <c r="AP69" s="301"/>
      <c r="AQ69" s="313">
        <f t="shared" si="21"/>
        <v>5</v>
      </c>
      <c r="AR69">
        <f t="shared" si="19"/>
        <v>951.85</v>
      </c>
      <c r="AS69">
        <f t="shared" si="20"/>
        <v>0</v>
      </c>
      <c r="AT69"/>
      <c r="AU69"/>
      <c r="AV69"/>
      <c r="AW69"/>
      <c r="AX69"/>
      <c r="AY69"/>
      <c r="AZ69"/>
      <c r="BA69"/>
      <c r="BB69"/>
      <c r="BC69"/>
      <c r="BD69"/>
      <c r="BE69"/>
    </row>
    <row r="70" spans="2:57" ht="27" customHeight="1" x14ac:dyDescent="0.25">
      <c r="B70" s="332">
        <f t="shared" si="18"/>
        <v>9</v>
      </c>
      <c r="C70" s="381" t="s">
        <v>36</v>
      </c>
      <c r="D70" s="381" t="s">
        <v>79</v>
      </c>
      <c r="E70" s="374">
        <v>120.8</v>
      </c>
      <c r="F70" s="351">
        <v>2.3530000000000002</v>
      </c>
      <c r="G70" s="286">
        <v>115.88</v>
      </c>
      <c r="H70" s="333">
        <v>0.96199999999999997</v>
      </c>
      <c r="I70" s="725">
        <v>116.35</v>
      </c>
      <c r="J70" s="285">
        <v>0.318</v>
      </c>
      <c r="K70" s="348" t="str">
        <f>IF(I70&gt;E70,"Limpas","")</f>
        <v/>
      </c>
      <c r="L70" s="810"/>
      <c r="M70" s="452"/>
      <c r="N70" s="192"/>
      <c r="AB70"/>
      <c r="AC70"/>
      <c r="AD70"/>
      <c r="AE70"/>
      <c r="AF70"/>
      <c r="AG70"/>
      <c r="AH70"/>
      <c r="AI70"/>
      <c r="AJ70"/>
      <c r="AK70"/>
      <c r="AL70"/>
      <c r="AM70"/>
      <c r="AN70"/>
      <c r="AO70"/>
      <c r="AP70" s="301"/>
      <c r="AQ70" s="313">
        <f t="shared" si="21"/>
        <v>6</v>
      </c>
      <c r="AR70">
        <f t="shared" si="19"/>
        <v>957.45</v>
      </c>
      <c r="AS70">
        <f t="shared" si="20"/>
        <v>0</v>
      </c>
      <c r="AT70"/>
      <c r="AU70"/>
      <c r="AV70"/>
      <c r="AW70"/>
      <c r="AX70"/>
      <c r="AY70"/>
      <c r="AZ70"/>
      <c r="BA70"/>
      <c r="BB70"/>
      <c r="BC70"/>
      <c r="BD70"/>
      <c r="BE70"/>
    </row>
    <row r="71" spans="2:57" ht="27" customHeight="1" x14ac:dyDescent="0.25">
      <c r="B71" s="332">
        <f t="shared" si="18"/>
        <v>10</v>
      </c>
      <c r="C71" s="381" t="s">
        <v>37</v>
      </c>
      <c r="D71" s="381" t="s">
        <v>80</v>
      </c>
      <c r="E71" s="374">
        <v>46.5</v>
      </c>
      <c r="F71" s="374">
        <v>4.5999999999999996</v>
      </c>
      <c r="G71" s="286">
        <v>42.79</v>
      </c>
      <c r="H71" s="286">
        <v>1.9059999999999999</v>
      </c>
      <c r="I71" s="725">
        <v>42.63</v>
      </c>
      <c r="J71" s="285">
        <v>1.536</v>
      </c>
      <c r="K71" s="348" t="str">
        <f>IF(I71&gt;E71,"Limpas","")</f>
        <v/>
      </c>
      <c r="L71" s="810"/>
      <c r="M71" s="812"/>
      <c r="N71" s="192"/>
      <c r="AB71"/>
      <c r="AC71"/>
      <c r="AD71"/>
      <c r="AE71"/>
      <c r="AF71"/>
      <c r="AG71"/>
      <c r="AH71"/>
      <c r="AI71"/>
      <c r="AJ71"/>
      <c r="AK71"/>
      <c r="AL71"/>
      <c r="AM71"/>
      <c r="AN71"/>
      <c r="AO71"/>
      <c r="AP71" s="301"/>
      <c r="AQ71" s="313">
        <f t="shared" si="21"/>
        <v>7</v>
      </c>
      <c r="AR71">
        <f t="shared" si="19"/>
        <v>952.58</v>
      </c>
      <c r="AS71">
        <f t="shared" si="20"/>
        <v>0</v>
      </c>
      <c r="AT71"/>
      <c r="AU71"/>
      <c r="AV71"/>
      <c r="AW71"/>
      <c r="AX71"/>
      <c r="AY71"/>
      <c r="AZ71"/>
      <c r="BA71"/>
      <c r="BB71"/>
      <c r="BC71"/>
      <c r="BD71"/>
      <c r="BE71"/>
    </row>
    <row r="72" spans="2:57" ht="27" customHeight="1" x14ac:dyDescent="0.25">
      <c r="B72" s="332">
        <f t="shared" si="18"/>
        <v>11</v>
      </c>
      <c r="C72" s="381" t="s">
        <v>39</v>
      </c>
      <c r="D72" s="381" t="s">
        <v>80</v>
      </c>
      <c r="E72" s="374">
        <v>51.5</v>
      </c>
      <c r="F72" s="351">
        <v>2.4159999999999999</v>
      </c>
      <c r="G72" s="286">
        <v>48.52</v>
      </c>
      <c r="H72" s="286">
        <v>1.4239999999999999</v>
      </c>
      <c r="I72" s="729">
        <v>49.65</v>
      </c>
      <c r="J72" s="285">
        <v>1.796</v>
      </c>
      <c r="K72" s="348" t="str">
        <f t="shared" ref="K72:K76" si="22">IF(I72&gt;E72,"Limpas","")</f>
        <v/>
      </c>
      <c r="L72" s="810"/>
      <c r="M72" s="452"/>
      <c r="N72" s="192"/>
      <c r="AB72"/>
      <c r="AC72"/>
      <c r="AD72"/>
      <c r="AE72"/>
      <c r="AF72"/>
      <c r="AG72"/>
      <c r="AH72"/>
      <c r="AI72"/>
      <c r="AJ72"/>
      <c r="AK72"/>
      <c r="AL72"/>
      <c r="AM72"/>
      <c r="AN72"/>
      <c r="AO72"/>
      <c r="AP72" s="301"/>
      <c r="AQ72" s="313">
        <f t="shared" si="21"/>
        <v>8</v>
      </c>
      <c r="AR72">
        <f t="shared" si="19"/>
        <v>959.09</v>
      </c>
      <c r="AS72">
        <f t="shared" si="20"/>
        <v>0</v>
      </c>
      <c r="AT72"/>
      <c r="AU72"/>
      <c r="AV72"/>
      <c r="AW72"/>
      <c r="AX72"/>
      <c r="AY72"/>
      <c r="AZ72"/>
      <c r="BA72"/>
      <c r="BB72"/>
      <c r="BC72"/>
      <c r="BD72"/>
      <c r="BE72"/>
    </row>
    <row r="73" spans="2:57" ht="27" customHeight="1" x14ac:dyDescent="0.25">
      <c r="B73" s="332">
        <f t="shared" si="18"/>
        <v>12</v>
      </c>
      <c r="C73" s="381" t="s">
        <v>40</v>
      </c>
      <c r="D73" s="381" t="s">
        <v>78</v>
      </c>
      <c r="E73" s="374">
        <v>81</v>
      </c>
      <c r="F73" s="351">
        <v>1.093</v>
      </c>
      <c r="G73" s="286">
        <v>79.91</v>
      </c>
      <c r="H73" s="333">
        <v>0.745</v>
      </c>
      <c r="I73" s="725">
        <v>78.349999999999994</v>
      </c>
      <c r="J73" s="285">
        <v>0.81200000000000006</v>
      </c>
      <c r="K73" s="348" t="str">
        <f t="shared" si="22"/>
        <v/>
      </c>
      <c r="L73" s="810"/>
      <c r="M73" s="452"/>
      <c r="N73" s="192"/>
      <c r="AB73"/>
      <c r="AC73"/>
      <c r="AD73"/>
      <c r="AE73"/>
      <c r="AF73"/>
      <c r="AG73"/>
      <c r="AH73"/>
      <c r="AI73"/>
      <c r="AJ73"/>
      <c r="AK73"/>
      <c r="AL73"/>
      <c r="AM73"/>
      <c r="AN73"/>
      <c r="AO73"/>
      <c r="AP73" s="301"/>
      <c r="AQ73" s="313">
        <f t="shared" si="21"/>
        <v>9</v>
      </c>
      <c r="AR73">
        <f t="shared" si="19"/>
        <v>955.94</v>
      </c>
      <c r="AS73">
        <f t="shared" si="20"/>
        <v>0</v>
      </c>
      <c r="AT73"/>
      <c r="AU73"/>
      <c r="AV73"/>
      <c r="AW73"/>
      <c r="AX73"/>
      <c r="AY73"/>
      <c r="AZ73"/>
      <c r="BA73"/>
      <c r="BB73"/>
      <c r="BC73"/>
      <c r="BD73"/>
      <c r="BE73"/>
    </row>
    <row r="74" spans="2:57" ht="27" customHeight="1" x14ac:dyDescent="0.25">
      <c r="B74" s="332">
        <f t="shared" si="18"/>
        <v>13</v>
      </c>
      <c r="C74" s="381" t="s">
        <v>41</v>
      </c>
      <c r="D74" s="381" t="s">
        <v>78</v>
      </c>
      <c r="E74" s="374">
        <v>82.8</v>
      </c>
      <c r="F74" s="351">
        <v>0.42899999999999999</v>
      </c>
      <c r="G74" s="286">
        <v>81.96</v>
      </c>
      <c r="H74" s="333">
        <v>0.30299999999999999</v>
      </c>
      <c r="I74" s="725">
        <v>81.31</v>
      </c>
      <c r="J74" s="285">
        <v>4.7E-2</v>
      </c>
      <c r="K74" s="348" t="str">
        <f t="shared" si="22"/>
        <v/>
      </c>
      <c r="L74" s="810"/>
      <c r="M74" s="452"/>
      <c r="N74" s="192"/>
      <c r="AB74"/>
      <c r="AC74"/>
      <c r="AD74"/>
      <c r="AE74"/>
      <c r="AF74"/>
      <c r="AG74"/>
      <c r="AH74"/>
      <c r="AI74"/>
      <c r="AJ74"/>
      <c r="AK74"/>
      <c r="AL74"/>
      <c r="AM74"/>
      <c r="AN74"/>
      <c r="AO74"/>
      <c r="AP74" s="301"/>
      <c r="AQ74" s="313">
        <f t="shared" si="21"/>
        <v>10</v>
      </c>
      <c r="AR74">
        <f t="shared" si="19"/>
        <v>965.74</v>
      </c>
      <c r="AS74">
        <f t="shared" si="20"/>
        <v>0</v>
      </c>
      <c r="AT74"/>
      <c r="AU74"/>
      <c r="AV74"/>
      <c r="AW74"/>
      <c r="AX74"/>
      <c r="AY74"/>
      <c r="AZ74"/>
      <c r="BA74"/>
      <c r="BB74"/>
      <c r="BC74"/>
      <c r="BD74"/>
      <c r="BE74"/>
    </row>
    <row r="75" spans="2:57" ht="27" customHeight="1" x14ac:dyDescent="0.25">
      <c r="B75" s="332">
        <f t="shared" si="18"/>
        <v>14</v>
      </c>
      <c r="C75" s="381" t="s">
        <v>42</v>
      </c>
      <c r="D75" s="381" t="s">
        <v>78</v>
      </c>
      <c r="E75" s="374">
        <v>69.95</v>
      </c>
      <c r="F75" s="351">
        <v>0.25</v>
      </c>
      <c r="G75" s="286">
        <v>69.47</v>
      </c>
      <c r="H75" s="286">
        <v>0.17599999999999999</v>
      </c>
      <c r="I75" s="732">
        <v>63.68</v>
      </c>
      <c r="J75" s="791">
        <v>0.215</v>
      </c>
      <c r="K75" s="348" t="str">
        <f t="shared" si="22"/>
        <v/>
      </c>
      <c r="L75" s="810"/>
      <c r="M75" s="452"/>
      <c r="N75" s="192"/>
      <c r="AB75"/>
      <c r="AC75"/>
      <c r="AD75"/>
      <c r="AE75"/>
      <c r="AF75"/>
      <c r="AG75"/>
      <c r="AH75"/>
      <c r="AI75"/>
      <c r="AJ75"/>
      <c r="AK75"/>
      <c r="AL75"/>
      <c r="AM75"/>
      <c r="AN75"/>
      <c r="AO75"/>
      <c r="AP75" s="301"/>
      <c r="AQ75" s="313">
        <f t="shared" si="21"/>
        <v>11</v>
      </c>
      <c r="AR75">
        <f t="shared" si="19"/>
        <v>974.34</v>
      </c>
      <c r="AS75">
        <f t="shared" si="20"/>
        <v>0</v>
      </c>
      <c r="AT75"/>
      <c r="AU75"/>
      <c r="AV75"/>
      <c r="AW75"/>
      <c r="AX75"/>
      <c r="AY75"/>
      <c r="AZ75"/>
      <c r="BA75"/>
      <c r="BB75"/>
      <c r="BC75"/>
      <c r="BD75"/>
      <c r="BE75"/>
    </row>
    <row r="76" spans="2:57" ht="27" customHeight="1" x14ac:dyDescent="0.25">
      <c r="B76" s="332">
        <f t="shared" si="18"/>
        <v>15</v>
      </c>
      <c r="C76" s="381" t="s">
        <v>43</v>
      </c>
      <c r="D76" s="381" t="s">
        <v>78</v>
      </c>
      <c r="E76" s="374">
        <v>48.2</v>
      </c>
      <c r="F76" s="351">
        <v>0.38500000000000001</v>
      </c>
      <c r="G76" s="286">
        <v>45.8</v>
      </c>
      <c r="H76" s="333">
        <v>8.4000000000000005E-2</v>
      </c>
      <c r="I76" s="725">
        <v>47</v>
      </c>
      <c r="J76" s="285">
        <v>0.39700000000000002</v>
      </c>
      <c r="K76" s="348" t="str">
        <f t="shared" si="22"/>
        <v/>
      </c>
      <c r="L76" s="810"/>
      <c r="M76" s="452"/>
      <c r="N76" s="192"/>
      <c r="AB76"/>
      <c r="AC76"/>
      <c r="AD76"/>
      <c r="AE76"/>
      <c r="AF76"/>
      <c r="AG76"/>
      <c r="AH76"/>
      <c r="AI76"/>
      <c r="AJ76"/>
      <c r="AK76"/>
      <c r="AL76"/>
      <c r="AM76"/>
      <c r="AN76"/>
      <c r="AO76"/>
      <c r="AP76" s="301"/>
      <c r="AQ76" s="313">
        <f t="shared" si="21"/>
        <v>12</v>
      </c>
      <c r="AR76">
        <f t="shared" si="19"/>
        <v>995.97</v>
      </c>
      <c r="AS76">
        <f t="shared" si="20"/>
        <v>0</v>
      </c>
      <c r="AT76"/>
      <c r="AU76"/>
      <c r="AV76"/>
      <c r="AW76"/>
      <c r="AX76"/>
      <c r="AY76"/>
      <c r="AZ76"/>
      <c r="BA76"/>
      <c r="BB76"/>
      <c r="BC76"/>
      <c r="BD76"/>
      <c r="BE76"/>
    </row>
    <row r="77" spans="2:57" ht="27" customHeight="1" x14ac:dyDescent="0.2">
      <c r="B77" s="332">
        <f t="shared" si="18"/>
        <v>16</v>
      </c>
      <c r="C77" s="381" t="s">
        <v>81</v>
      </c>
      <c r="D77" s="381" t="s">
        <v>44</v>
      </c>
      <c r="E77" s="374">
        <v>136</v>
      </c>
      <c r="F77" s="351">
        <v>440</v>
      </c>
      <c r="G77" s="286">
        <v>132.91999999999999</v>
      </c>
      <c r="H77" s="286">
        <v>211.166</v>
      </c>
      <c r="I77" s="286">
        <v>132.59</v>
      </c>
      <c r="J77" s="781">
        <v>203.13</v>
      </c>
      <c r="K77" s="348"/>
      <c r="L77" s="813"/>
      <c r="M77" s="452"/>
      <c r="N77" s="192"/>
      <c r="AB77"/>
      <c r="AC77"/>
      <c r="AD77"/>
      <c r="AE77"/>
      <c r="AF77"/>
      <c r="AG77"/>
      <c r="AH77"/>
      <c r="AI77"/>
      <c r="AJ77"/>
      <c r="AK77"/>
      <c r="AL77"/>
      <c r="AM77"/>
      <c r="AN77"/>
      <c r="AO77"/>
      <c r="AP77" s="301"/>
      <c r="AQ77" s="313">
        <f t="shared" si="21"/>
        <v>13</v>
      </c>
      <c r="AR77">
        <f t="shared" si="19"/>
        <v>1012.02</v>
      </c>
      <c r="AS77">
        <f t="shared" si="20"/>
        <v>0</v>
      </c>
      <c r="AT77"/>
      <c r="AU77"/>
      <c r="AV77"/>
      <c r="AW77"/>
      <c r="AX77"/>
      <c r="AY77"/>
      <c r="AZ77"/>
      <c r="BA77"/>
      <c r="BB77"/>
      <c r="BC77"/>
      <c r="BD77"/>
      <c r="BE77"/>
    </row>
    <row r="78" spans="2:57" ht="27" customHeight="1" x14ac:dyDescent="0.2">
      <c r="B78" s="332">
        <f t="shared" si="18"/>
        <v>17</v>
      </c>
      <c r="C78" s="381" t="s">
        <v>45</v>
      </c>
      <c r="D78" s="381" t="s">
        <v>44</v>
      </c>
      <c r="E78" s="374">
        <v>113.5</v>
      </c>
      <c r="F78" s="351">
        <v>3.7519999999999998</v>
      </c>
      <c r="G78" s="286">
        <v>113</v>
      </c>
      <c r="H78" s="286">
        <v>2.1120000000000001</v>
      </c>
      <c r="I78" s="287">
        <v>112.19</v>
      </c>
      <c r="J78" s="781">
        <v>1.7663</v>
      </c>
      <c r="K78" s="348"/>
      <c r="L78" s="813"/>
      <c r="M78" s="452"/>
      <c r="N78" s="192"/>
      <c r="AB78"/>
      <c r="AC78"/>
      <c r="AD78"/>
      <c r="AE78"/>
      <c r="AF78"/>
      <c r="AG78"/>
      <c r="AH78"/>
      <c r="AI78"/>
      <c r="AJ78"/>
      <c r="AK78"/>
      <c r="AL78"/>
      <c r="AM78"/>
      <c r="AN78"/>
      <c r="AO78"/>
      <c r="AP78" s="301"/>
      <c r="AQ78" s="313">
        <f t="shared" si="21"/>
        <v>14</v>
      </c>
      <c r="AR78">
        <f t="shared" si="19"/>
        <v>1022.68</v>
      </c>
      <c r="AS78">
        <f t="shared" si="20"/>
        <v>0</v>
      </c>
      <c r="AT78"/>
      <c r="AU78"/>
      <c r="AV78"/>
      <c r="AW78"/>
      <c r="AX78"/>
      <c r="AY78"/>
      <c r="AZ78"/>
      <c r="BA78"/>
      <c r="BB78"/>
      <c r="BC78"/>
      <c r="BD78"/>
      <c r="BE78"/>
    </row>
    <row r="79" spans="2:57" ht="27" customHeight="1" x14ac:dyDescent="0.2">
      <c r="B79" s="332">
        <f t="shared" si="18"/>
        <v>18</v>
      </c>
      <c r="C79" s="381" t="s">
        <v>46</v>
      </c>
      <c r="D79" s="381" t="s">
        <v>44</v>
      </c>
      <c r="E79" s="374">
        <v>225.4</v>
      </c>
      <c r="F79" s="374">
        <v>1.2</v>
      </c>
      <c r="G79" s="286">
        <v>203.5</v>
      </c>
      <c r="H79" s="286">
        <v>0.27300000000000002</v>
      </c>
      <c r="I79" s="286">
        <v>201.8</v>
      </c>
      <c r="J79" s="781">
        <v>0.1249</v>
      </c>
      <c r="K79" s="348"/>
      <c r="L79" s="813"/>
      <c r="M79" s="452"/>
      <c r="AB79"/>
      <c r="AC79"/>
      <c r="AD79"/>
      <c r="AE79"/>
      <c r="AF79"/>
      <c r="AG79"/>
      <c r="AH79"/>
      <c r="AI79"/>
      <c r="AJ79"/>
      <c r="AK79"/>
      <c r="AL79"/>
      <c r="AM79"/>
      <c r="AN79"/>
      <c r="AO79"/>
      <c r="AP79" s="301"/>
      <c r="AQ79" s="313">
        <f t="shared" si="21"/>
        <v>15</v>
      </c>
      <c r="AR79">
        <f t="shared" si="19"/>
        <v>1024.22</v>
      </c>
      <c r="AS79">
        <f t="shared" si="20"/>
        <v>0</v>
      </c>
      <c r="AT79"/>
      <c r="AU79"/>
      <c r="AV79"/>
      <c r="AW79"/>
      <c r="AX79"/>
      <c r="AY79"/>
      <c r="AZ79"/>
      <c r="BA79"/>
      <c r="BB79"/>
      <c r="BC79"/>
      <c r="BD79"/>
      <c r="BE79"/>
    </row>
    <row r="80" spans="2:57" ht="27" customHeight="1" x14ac:dyDescent="0.2">
      <c r="B80" s="332">
        <f t="shared" si="18"/>
        <v>19</v>
      </c>
      <c r="C80" s="381" t="s">
        <v>47</v>
      </c>
      <c r="D80" s="381" t="s">
        <v>44</v>
      </c>
      <c r="E80" s="374">
        <v>224</v>
      </c>
      <c r="F80" s="351">
        <v>0.6</v>
      </c>
      <c r="G80" s="286">
        <v>223.53</v>
      </c>
      <c r="H80" s="286">
        <v>0.38400000000000001</v>
      </c>
      <c r="I80" s="287">
        <v>221.46</v>
      </c>
      <c r="J80" s="782">
        <v>0.2354</v>
      </c>
      <c r="K80" s="348"/>
      <c r="L80" s="814"/>
      <c r="M80" s="453"/>
      <c r="R80" s="185">
        <v>148.35</v>
      </c>
      <c r="S80" s="185">
        <v>1.855</v>
      </c>
      <c r="AB80"/>
      <c r="AC80"/>
      <c r="AD80"/>
      <c r="AE80"/>
      <c r="AF80"/>
      <c r="AG80"/>
      <c r="AH80"/>
      <c r="AI80"/>
      <c r="AJ80"/>
      <c r="AK80"/>
      <c r="AL80"/>
      <c r="AM80"/>
      <c r="AN80"/>
      <c r="AO80"/>
      <c r="AP80" s="301"/>
      <c r="AQ80" s="313">
        <f t="shared" si="21"/>
        <v>16</v>
      </c>
      <c r="AR80">
        <f t="shared" si="19"/>
        <v>1021.3</v>
      </c>
      <c r="AS80">
        <f t="shared" si="20"/>
        <v>0</v>
      </c>
      <c r="AT80"/>
      <c r="AU80"/>
      <c r="AV80"/>
      <c r="AW80"/>
      <c r="AX80"/>
      <c r="AY80"/>
      <c r="AZ80"/>
      <c r="BA80"/>
      <c r="BB80"/>
      <c r="BC80"/>
      <c r="BD80"/>
      <c r="BE80"/>
    </row>
    <row r="81" spans="2:57" ht="27" customHeight="1" x14ac:dyDescent="0.2">
      <c r="B81" s="332">
        <f t="shared" si="18"/>
        <v>20</v>
      </c>
      <c r="C81" s="381" t="s">
        <v>48</v>
      </c>
      <c r="D81" s="381" t="s">
        <v>44</v>
      </c>
      <c r="E81" s="374">
        <v>196</v>
      </c>
      <c r="F81" s="351">
        <v>1.5820000000000001</v>
      </c>
      <c r="G81" s="286">
        <v>195.5</v>
      </c>
      <c r="H81" s="286">
        <v>0.67500000000000004</v>
      </c>
      <c r="I81" s="287">
        <v>196.02</v>
      </c>
      <c r="J81" s="781">
        <v>0.7752</v>
      </c>
      <c r="K81" s="348"/>
      <c r="L81" s="813"/>
      <c r="M81" s="452"/>
      <c r="AB81"/>
      <c r="AC81"/>
      <c r="AD81"/>
      <c r="AE81"/>
      <c r="AF81"/>
      <c r="AG81"/>
      <c r="AH81"/>
      <c r="AI81"/>
      <c r="AJ81"/>
      <c r="AK81"/>
      <c r="AL81"/>
      <c r="AM81"/>
      <c r="AN81"/>
      <c r="AO81"/>
      <c r="AP81" s="301"/>
      <c r="AQ81" s="313">
        <f t="shared" si="21"/>
        <v>17</v>
      </c>
      <c r="AR81">
        <f t="shared" si="19"/>
        <v>1022.24</v>
      </c>
      <c r="AS81">
        <f t="shared" si="20"/>
        <v>0</v>
      </c>
      <c r="AT81"/>
      <c r="AU81"/>
      <c r="AV81"/>
      <c r="AW81"/>
      <c r="AX81"/>
      <c r="AY81"/>
      <c r="AZ81"/>
      <c r="BA81"/>
      <c r="BB81"/>
      <c r="BC81"/>
      <c r="BD81"/>
      <c r="BE81"/>
    </row>
    <row r="82" spans="2:57" ht="27" customHeight="1" x14ac:dyDescent="0.2">
      <c r="B82" s="332">
        <f t="shared" si="18"/>
        <v>21</v>
      </c>
      <c r="C82" s="381" t="s">
        <v>49</v>
      </c>
      <c r="D82" s="381" t="s">
        <v>44</v>
      </c>
      <c r="E82" s="374">
        <v>174</v>
      </c>
      <c r="F82" s="351">
        <v>0.47899999999999998</v>
      </c>
      <c r="G82" s="286">
        <v>170.57</v>
      </c>
      <c r="H82" s="286">
        <v>0.16300000000000001</v>
      </c>
      <c r="I82" s="287">
        <v>168.51</v>
      </c>
      <c r="J82" s="781">
        <v>5.8999999999999997E-2</v>
      </c>
      <c r="K82" s="348"/>
      <c r="L82" s="813"/>
      <c r="M82" s="452"/>
      <c r="AB82"/>
      <c r="AC82"/>
      <c r="AD82"/>
      <c r="AE82"/>
      <c r="AF82"/>
      <c r="AG82"/>
      <c r="AH82"/>
      <c r="AI82"/>
      <c r="AJ82"/>
      <c r="AK82"/>
      <c r="AL82"/>
      <c r="AM82"/>
      <c r="AN82"/>
      <c r="AO82"/>
      <c r="AP82" s="301"/>
      <c r="AQ82" s="313">
        <f t="shared" si="21"/>
        <v>18</v>
      </c>
      <c r="AR82">
        <f t="shared" si="19"/>
        <v>1032.29</v>
      </c>
      <c r="AS82">
        <f t="shared" si="20"/>
        <v>0</v>
      </c>
      <c r="AT82"/>
      <c r="AU82"/>
      <c r="AV82"/>
      <c r="AW82"/>
      <c r="AX82"/>
      <c r="AY82"/>
      <c r="AZ82"/>
      <c r="BA82"/>
      <c r="BB82"/>
      <c r="BC82"/>
      <c r="BD82"/>
      <c r="BE82"/>
    </row>
    <row r="83" spans="2:57" ht="27" customHeight="1" x14ac:dyDescent="0.2">
      <c r="B83" s="330">
        <f t="shared" si="18"/>
        <v>22</v>
      </c>
      <c r="C83" s="331" t="s">
        <v>50</v>
      </c>
      <c r="D83" s="331" t="s">
        <v>44</v>
      </c>
      <c r="E83" s="352">
        <v>229.1</v>
      </c>
      <c r="F83" s="377">
        <v>0.79200000000000004</v>
      </c>
      <c r="G83" s="285">
        <v>226.6</v>
      </c>
      <c r="H83" s="285">
        <v>0.49199999999999999</v>
      </c>
      <c r="I83" s="412">
        <v>226.02</v>
      </c>
      <c r="J83" s="783">
        <v>0.44230000000000003</v>
      </c>
      <c r="K83" s="348"/>
      <c r="L83" s="814"/>
      <c r="M83" s="453"/>
      <c r="AB83"/>
      <c r="AC83"/>
      <c r="AD83"/>
      <c r="AE83"/>
      <c r="AF83"/>
      <c r="AG83"/>
      <c r="AH83"/>
      <c r="AI83"/>
      <c r="AJ83"/>
      <c r="AK83"/>
      <c r="AL83"/>
      <c r="AM83"/>
      <c r="AN83"/>
      <c r="AO83"/>
      <c r="AP83" s="301"/>
      <c r="AQ83" s="313">
        <f t="shared" si="21"/>
        <v>19</v>
      </c>
      <c r="AR83">
        <f t="shared" si="19"/>
        <v>1040.74</v>
      </c>
      <c r="AS83">
        <f t="shared" si="20"/>
        <v>0</v>
      </c>
      <c r="AT83"/>
      <c r="AU83"/>
      <c r="AV83"/>
      <c r="AW83"/>
      <c r="AX83"/>
      <c r="AY83"/>
      <c r="AZ83"/>
      <c r="BA83"/>
      <c r="BB83"/>
      <c r="BC83"/>
      <c r="BD83"/>
      <c r="BE83"/>
    </row>
    <row r="84" spans="2:57" ht="27" customHeight="1" x14ac:dyDescent="0.2">
      <c r="B84" s="332">
        <f t="shared" si="18"/>
        <v>23</v>
      </c>
      <c r="C84" s="381" t="s">
        <v>51</v>
      </c>
      <c r="D84" s="381" t="s">
        <v>44</v>
      </c>
      <c r="E84" s="374">
        <v>249</v>
      </c>
      <c r="F84" s="351">
        <v>2.1240000000000001</v>
      </c>
      <c r="G84" s="286">
        <v>248.7</v>
      </c>
      <c r="H84" s="286">
        <v>1.708</v>
      </c>
      <c r="I84" s="287">
        <v>247.62</v>
      </c>
      <c r="J84" s="782">
        <v>1.4094</v>
      </c>
      <c r="K84" s="348"/>
      <c r="L84" s="814"/>
      <c r="M84" s="453"/>
      <c r="AB84"/>
      <c r="AC84"/>
      <c r="AD84"/>
      <c r="AE84"/>
      <c r="AF84"/>
      <c r="AG84"/>
      <c r="AH84"/>
      <c r="AI84"/>
      <c r="AJ84"/>
      <c r="AK84"/>
      <c r="AL84"/>
      <c r="AM84"/>
      <c r="AN84"/>
      <c r="AO84"/>
      <c r="AP84" s="301"/>
      <c r="AQ84" s="313">
        <f t="shared" si="21"/>
        <v>20</v>
      </c>
      <c r="AR84">
        <f t="shared" si="19"/>
        <v>1056.08</v>
      </c>
      <c r="AS84">
        <f t="shared" si="20"/>
        <v>0</v>
      </c>
      <c r="AT84"/>
      <c r="AU84"/>
      <c r="AV84"/>
      <c r="AW84"/>
      <c r="AX84"/>
      <c r="AY84"/>
      <c r="AZ84"/>
      <c r="BA84"/>
      <c r="BB84"/>
      <c r="BC84"/>
      <c r="BD84"/>
      <c r="BE84"/>
    </row>
    <row r="85" spans="2:57" ht="27" customHeight="1" x14ac:dyDescent="0.2">
      <c r="B85" s="332">
        <f t="shared" si="18"/>
        <v>24</v>
      </c>
      <c r="C85" s="381" t="s">
        <v>52</v>
      </c>
      <c r="D85" s="381" t="s">
        <v>82</v>
      </c>
      <c r="E85" s="374">
        <v>164.75</v>
      </c>
      <c r="F85" s="374">
        <v>5</v>
      </c>
      <c r="G85" s="286">
        <v>140</v>
      </c>
      <c r="H85" s="286">
        <v>0</v>
      </c>
      <c r="I85" s="286">
        <v>140</v>
      </c>
      <c r="J85" s="782">
        <v>0</v>
      </c>
      <c r="K85" s="348"/>
      <c r="L85" s="814"/>
      <c r="M85" s="453"/>
      <c r="AB85"/>
      <c r="AC85"/>
      <c r="AD85"/>
      <c r="AE85"/>
      <c r="AF85"/>
      <c r="AG85"/>
      <c r="AH85"/>
      <c r="AI85"/>
      <c r="AJ85"/>
      <c r="AK85"/>
      <c r="AL85"/>
      <c r="AM85"/>
      <c r="AN85"/>
      <c r="AO85"/>
      <c r="AP85" s="301"/>
      <c r="AQ85" s="313">
        <f t="shared" si="21"/>
        <v>21</v>
      </c>
      <c r="AR85">
        <f t="shared" si="19"/>
        <v>1071.4000000000001</v>
      </c>
      <c r="AS85">
        <f t="shared" si="20"/>
        <v>0</v>
      </c>
      <c r="AT85"/>
      <c r="AU85"/>
      <c r="AV85"/>
      <c r="AW85"/>
      <c r="AX85"/>
      <c r="AY85"/>
      <c r="AZ85"/>
      <c r="BA85"/>
      <c r="BB85"/>
      <c r="BC85"/>
      <c r="BD85"/>
      <c r="BE85"/>
    </row>
    <row r="86" spans="2:57" ht="27" customHeight="1" x14ac:dyDescent="0.2">
      <c r="B86" s="332">
        <f t="shared" si="18"/>
        <v>25</v>
      </c>
      <c r="C86" s="381" t="s">
        <v>53</v>
      </c>
      <c r="D86" s="381" t="s">
        <v>82</v>
      </c>
      <c r="E86" s="374">
        <v>179.1</v>
      </c>
      <c r="F86" s="351">
        <v>4.2</v>
      </c>
      <c r="G86" s="287">
        <v>204.56</v>
      </c>
      <c r="H86" s="287">
        <v>3.052</v>
      </c>
      <c r="I86" s="286">
        <v>204.23</v>
      </c>
      <c r="J86" s="781">
        <v>2.8538000000000001</v>
      </c>
      <c r="K86" s="348"/>
      <c r="L86" s="813"/>
      <c r="M86" s="452"/>
      <c r="AB86"/>
      <c r="AC86"/>
      <c r="AD86"/>
      <c r="AE86"/>
      <c r="AF86"/>
      <c r="AG86"/>
      <c r="AH86"/>
      <c r="AI86"/>
      <c r="AJ86"/>
      <c r="AK86"/>
      <c r="AL86"/>
      <c r="AM86"/>
      <c r="AN86"/>
      <c r="AO86"/>
      <c r="AP86" s="301"/>
      <c r="AQ86" s="313">
        <f t="shared" si="21"/>
        <v>22</v>
      </c>
      <c r="AR86">
        <f t="shared" si="19"/>
        <v>1088.43</v>
      </c>
      <c r="AS86">
        <f t="shared" si="20"/>
        <v>0</v>
      </c>
      <c r="AT86"/>
      <c r="AU86"/>
      <c r="AV86"/>
      <c r="AW86"/>
      <c r="AX86"/>
      <c r="AY86"/>
      <c r="AZ86"/>
      <c r="BA86"/>
      <c r="BB86"/>
      <c r="BC86"/>
      <c r="BD86"/>
      <c r="BE86"/>
    </row>
    <row r="87" spans="2:57" ht="27" customHeight="1" x14ac:dyDescent="0.2">
      <c r="B87" s="332">
        <f t="shared" si="18"/>
        <v>26</v>
      </c>
      <c r="C87" s="381" t="s">
        <v>54</v>
      </c>
      <c r="D87" s="381" t="s">
        <v>83</v>
      </c>
      <c r="E87" s="374">
        <v>325.56</v>
      </c>
      <c r="F87" s="351">
        <v>0.70099999999999996</v>
      </c>
      <c r="G87" s="287">
        <v>325.5</v>
      </c>
      <c r="H87" s="287">
        <v>0.69599999999999995</v>
      </c>
      <c r="I87" s="287">
        <v>325.2</v>
      </c>
      <c r="J87" s="782">
        <v>0.66800000000000004</v>
      </c>
      <c r="K87" s="348"/>
      <c r="L87" s="814"/>
      <c r="M87" s="453"/>
      <c r="AB87"/>
      <c r="AC87"/>
      <c r="AD87"/>
      <c r="AE87"/>
      <c r="AF87"/>
      <c r="AG87"/>
      <c r="AH87"/>
      <c r="AI87"/>
      <c r="AJ87"/>
      <c r="AK87"/>
      <c r="AL87"/>
      <c r="AM87"/>
      <c r="AN87"/>
      <c r="AO87"/>
      <c r="AP87" s="301"/>
      <c r="AQ87" s="313">
        <f t="shared" si="21"/>
        <v>23</v>
      </c>
      <c r="AR87">
        <f t="shared" si="19"/>
        <v>1098.1199999999999</v>
      </c>
      <c r="AS87">
        <f t="shared" si="20"/>
        <v>0</v>
      </c>
      <c r="AT87"/>
      <c r="AU87"/>
      <c r="AV87"/>
      <c r="AW87"/>
      <c r="AX87"/>
      <c r="AY87"/>
      <c r="AZ87"/>
      <c r="BA87"/>
      <c r="BB87"/>
      <c r="BC87"/>
      <c r="BD87"/>
      <c r="BE87"/>
    </row>
    <row r="88" spans="2:57" ht="27" customHeight="1" x14ac:dyDescent="0.2">
      <c r="B88" s="332">
        <f t="shared" si="18"/>
        <v>27</v>
      </c>
      <c r="C88" s="381" t="s">
        <v>55</v>
      </c>
      <c r="D88" s="381" t="s">
        <v>83</v>
      </c>
      <c r="E88" s="374">
        <v>129.19999999999999</v>
      </c>
      <c r="F88" s="351">
        <v>0.5</v>
      </c>
      <c r="G88" s="286">
        <v>129.19999999999999</v>
      </c>
      <c r="H88" s="286">
        <v>0.71</v>
      </c>
      <c r="I88" s="287">
        <v>128.81</v>
      </c>
      <c r="J88" s="781">
        <v>0.65710000000000002</v>
      </c>
      <c r="K88" s="348"/>
      <c r="L88" s="813"/>
      <c r="M88" s="452"/>
      <c r="AB88"/>
      <c r="AC88"/>
      <c r="AD88"/>
      <c r="AE88"/>
      <c r="AF88"/>
      <c r="AG88"/>
      <c r="AH88"/>
      <c r="AI88"/>
      <c r="AJ88"/>
      <c r="AK88"/>
      <c r="AL88"/>
      <c r="AM88"/>
      <c r="AN88"/>
      <c r="AO88"/>
      <c r="AP88" s="301"/>
      <c r="AQ88" s="313">
        <f t="shared" si="21"/>
        <v>24</v>
      </c>
      <c r="AR88">
        <f t="shared" si="19"/>
        <v>1101.3599999999999</v>
      </c>
      <c r="AS88">
        <f t="shared" si="20"/>
        <v>0</v>
      </c>
      <c r="AT88"/>
      <c r="AU88"/>
      <c r="AV88"/>
      <c r="AW88"/>
      <c r="AX88"/>
      <c r="AY88"/>
      <c r="AZ88"/>
      <c r="BA88"/>
      <c r="BB88"/>
      <c r="BC88"/>
      <c r="BD88"/>
      <c r="BE88"/>
    </row>
    <row r="89" spans="2:57" ht="27" customHeight="1" x14ac:dyDescent="0.2">
      <c r="B89" s="332">
        <f t="shared" si="18"/>
        <v>28</v>
      </c>
      <c r="C89" s="381" t="s">
        <v>56</v>
      </c>
      <c r="D89" s="381" t="s">
        <v>83</v>
      </c>
      <c r="E89" s="374">
        <v>282.77999999999997</v>
      </c>
      <c r="F89" s="351">
        <v>0.51300000000000001</v>
      </c>
      <c r="G89" s="286">
        <v>282.95999999999998</v>
      </c>
      <c r="H89" s="286">
        <v>0.48</v>
      </c>
      <c r="I89" s="286">
        <v>283.02999999999997</v>
      </c>
      <c r="J89" s="781">
        <v>0.48499999999999999</v>
      </c>
      <c r="K89" s="348"/>
      <c r="L89" s="813"/>
      <c r="M89" s="452"/>
      <c r="AB89"/>
      <c r="AC89"/>
      <c r="AD89"/>
      <c r="AE89"/>
      <c r="AF89"/>
      <c r="AG89"/>
      <c r="AH89"/>
      <c r="AI89"/>
      <c r="AJ89"/>
      <c r="AK89"/>
      <c r="AL89"/>
      <c r="AM89"/>
      <c r="AN89"/>
      <c r="AO89"/>
      <c r="AP89" s="301"/>
      <c r="AQ89" s="313">
        <f t="shared" si="21"/>
        <v>25</v>
      </c>
      <c r="AR89">
        <f t="shared" si="19"/>
        <v>1065.3699999999999</v>
      </c>
      <c r="AS89">
        <f t="shared" si="20"/>
        <v>0</v>
      </c>
      <c r="AT89"/>
      <c r="AU89"/>
      <c r="AV89"/>
      <c r="AW89"/>
      <c r="AX89"/>
      <c r="AY89"/>
      <c r="AZ89"/>
      <c r="BA89"/>
      <c r="BB89"/>
      <c r="BC89"/>
      <c r="BD89"/>
      <c r="BE89"/>
    </row>
    <row r="90" spans="2:57" ht="27" customHeight="1" x14ac:dyDescent="0.2">
      <c r="B90" s="332">
        <f t="shared" si="18"/>
        <v>29</v>
      </c>
      <c r="C90" s="381" t="s">
        <v>57</v>
      </c>
      <c r="D90" s="381" t="s">
        <v>83</v>
      </c>
      <c r="E90" s="374">
        <v>99</v>
      </c>
      <c r="F90" s="351">
        <v>2.6110000000000002</v>
      </c>
      <c r="G90" s="286">
        <v>98.85</v>
      </c>
      <c r="H90" s="286">
        <v>2.7770000000000001</v>
      </c>
      <c r="I90" s="287">
        <v>98.94</v>
      </c>
      <c r="J90" s="782">
        <v>2.8418000000000001</v>
      </c>
      <c r="K90" s="348"/>
      <c r="L90" s="814"/>
      <c r="M90" s="453"/>
      <c r="AB90"/>
      <c r="AC90"/>
      <c r="AD90"/>
      <c r="AE90"/>
      <c r="AF90"/>
      <c r="AG90"/>
      <c r="AH90"/>
      <c r="AI90"/>
      <c r="AJ90"/>
      <c r="AK90"/>
      <c r="AL90"/>
      <c r="AM90"/>
      <c r="AN90"/>
      <c r="AO90"/>
      <c r="AP90" s="301"/>
      <c r="AQ90" s="313">
        <f t="shared" si="21"/>
        <v>26</v>
      </c>
      <c r="AR90">
        <f t="shared" si="19"/>
        <v>1076.4000000000001</v>
      </c>
      <c r="AS90">
        <f t="shared" si="20"/>
        <v>0</v>
      </c>
      <c r="AT90"/>
      <c r="AU90"/>
      <c r="AV90"/>
      <c r="AW90"/>
      <c r="AX90"/>
      <c r="AY90"/>
      <c r="AZ90"/>
      <c r="BA90"/>
      <c r="BB90"/>
      <c r="BC90"/>
      <c r="BD90"/>
      <c r="BE90"/>
    </row>
    <row r="91" spans="2:57" ht="27" customHeight="1" x14ac:dyDescent="0.2">
      <c r="B91" s="332">
        <f t="shared" si="18"/>
        <v>30</v>
      </c>
      <c r="C91" s="381" t="s">
        <v>58</v>
      </c>
      <c r="D91" s="381" t="s">
        <v>83</v>
      </c>
      <c r="E91" s="374">
        <v>189.7</v>
      </c>
      <c r="F91" s="374">
        <v>7.9000000000000001E-2</v>
      </c>
      <c r="G91" s="286">
        <v>189.7</v>
      </c>
      <c r="H91" s="286">
        <v>0.08</v>
      </c>
      <c r="I91" s="287">
        <v>189.37</v>
      </c>
      <c r="J91" s="782">
        <v>7.2800000000000004E-2</v>
      </c>
      <c r="K91" s="348"/>
      <c r="L91" s="814"/>
      <c r="M91" s="815"/>
      <c r="AB91"/>
      <c r="AC91"/>
      <c r="AD91"/>
      <c r="AE91"/>
      <c r="AF91"/>
      <c r="AG91"/>
      <c r="AH91"/>
      <c r="AI91"/>
      <c r="AJ91"/>
      <c r="AK91"/>
      <c r="AL91"/>
      <c r="AM91"/>
      <c r="AN91"/>
      <c r="AO91"/>
      <c r="AP91" s="301"/>
      <c r="AQ91" s="313">
        <f t="shared" si="21"/>
        <v>27</v>
      </c>
      <c r="AR91">
        <f t="shared" si="19"/>
        <v>1103.0899999999999</v>
      </c>
      <c r="AS91">
        <f t="shared" si="20"/>
        <v>0</v>
      </c>
      <c r="AT91"/>
      <c r="AU91"/>
      <c r="AV91"/>
      <c r="AW91"/>
      <c r="AX91"/>
      <c r="AY91"/>
      <c r="AZ91"/>
      <c r="BA91"/>
      <c r="BB91"/>
      <c r="BC91"/>
      <c r="BD91"/>
      <c r="BE91"/>
    </row>
    <row r="92" spans="2:57" ht="27" customHeight="1" x14ac:dyDescent="0.2">
      <c r="B92" s="332">
        <f t="shared" si="18"/>
        <v>31</v>
      </c>
      <c r="C92" s="381" t="s">
        <v>59</v>
      </c>
      <c r="D92" s="381" t="s">
        <v>83</v>
      </c>
      <c r="E92" s="374">
        <v>171.19</v>
      </c>
      <c r="F92" s="351">
        <v>9.6879999999999994E-2</v>
      </c>
      <c r="G92" s="286">
        <v>171.2</v>
      </c>
      <c r="H92" s="333">
        <v>9.7000000000000003E-2</v>
      </c>
      <c r="I92" s="287">
        <v>171.27</v>
      </c>
      <c r="J92" s="782">
        <v>9.8799999999999999E-2</v>
      </c>
      <c r="K92" s="348"/>
      <c r="L92" s="814"/>
      <c r="M92" s="453"/>
      <c r="AB92"/>
      <c r="AC92"/>
      <c r="AD92"/>
      <c r="AE92"/>
      <c r="AF92"/>
      <c r="AG92"/>
      <c r="AH92"/>
      <c r="AI92"/>
      <c r="AJ92"/>
      <c r="AK92"/>
      <c r="AL92"/>
      <c r="AM92"/>
      <c r="AN92"/>
      <c r="AO92"/>
      <c r="AP92" s="301"/>
      <c r="AQ92" s="313">
        <f t="shared" si="21"/>
        <v>28</v>
      </c>
      <c r="AR92">
        <f t="shared" si="19"/>
        <v>1094.99</v>
      </c>
      <c r="AS92">
        <f t="shared" si="20"/>
        <v>0</v>
      </c>
      <c r="AT92"/>
      <c r="AU92"/>
      <c r="AV92"/>
      <c r="AW92"/>
      <c r="AX92"/>
      <c r="AY92"/>
      <c r="AZ92"/>
      <c r="BA92"/>
      <c r="BB92"/>
      <c r="BC92"/>
      <c r="BD92"/>
      <c r="BE92"/>
    </row>
    <row r="93" spans="2:57" ht="27" customHeight="1" x14ac:dyDescent="0.2">
      <c r="B93" s="332">
        <f t="shared" si="18"/>
        <v>32</v>
      </c>
      <c r="C93" s="381" t="s">
        <v>60</v>
      </c>
      <c r="D93" s="381" t="s">
        <v>84</v>
      </c>
      <c r="E93" s="374">
        <v>142.6</v>
      </c>
      <c r="F93" s="351">
        <v>9.157</v>
      </c>
      <c r="G93" s="286">
        <v>140.30000000000001</v>
      </c>
      <c r="H93" s="286">
        <v>9.1560000000000006</v>
      </c>
      <c r="I93" s="286">
        <v>139.62</v>
      </c>
      <c r="J93" s="784">
        <v>7.2382</v>
      </c>
      <c r="K93" s="348"/>
      <c r="L93" s="816"/>
      <c r="M93" s="454"/>
      <c r="AB93"/>
      <c r="AC93"/>
      <c r="AD93"/>
      <c r="AE93"/>
      <c r="AF93"/>
      <c r="AG93"/>
      <c r="AH93"/>
      <c r="AI93"/>
      <c r="AJ93"/>
      <c r="AK93"/>
      <c r="AL93"/>
      <c r="AM93"/>
      <c r="AN93"/>
      <c r="AO93"/>
      <c r="AP93" s="301"/>
      <c r="AQ93" s="313">
        <f t="shared" si="21"/>
        <v>29</v>
      </c>
      <c r="AR93">
        <f t="shared" si="19"/>
        <v>1108.45</v>
      </c>
      <c r="AS93">
        <f t="shared" si="20"/>
        <v>0</v>
      </c>
      <c r="AT93"/>
      <c r="AU93"/>
      <c r="AV93"/>
      <c r="AW93"/>
      <c r="AX93"/>
      <c r="AY93"/>
      <c r="AZ93"/>
      <c r="BA93"/>
      <c r="BB93"/>
      <c r="BC93"/>
      <c r="BD93"/>
      <c r="BE93"/>
    </row>
    <row r="94" spans="2:57" ht="27" customHeight="1" x14ac:dyDescent="0.2">
      <c r="B94" s="332">
        <f t="shared" si="18"/>
        <v>33</v>
      </c>
      <c r="C94" s="381" t="s">
        <v>61</v>
      </c>
      <c r="D94" s="381" t="s">
        <v>84</v>
      </c>
      <c r="E94" s="374">
        <v>239.5</v>
      </c>
      <c r="F94" s="351">
        <v>2.6720000000000002</v>
      </c>
      <c r="G94" s="286">
        <v>239.7</v>
      </c>
      <c r="H94" s="333">
        <v>2.8559999999999999</v>
      </c>
      <c r="I94" s="286">
        <v>239.27</v>
      </c>
      <c r="J94" s="784">
        <v>2.5836000000000001</v>
      </c>
      <c r="K94" s="348"/>
      <c r="L94" s="816"/>
      <c r="M94" s="454"/>
      <c r="AB94"/>
      <c r="AC94"/>
      <c r="AD94"/>
      <c r="AE94"/>
      <c r="AF94"/>
      <c r="AG94"/>
      <c r="AH94"/>
      <c r="AI94"/>
      <c r="AJ94"/>
      <c r="AK94"/>
      <c r="AL94"/>
      <c r="AM94"/>
      <c r="AN94"/>
      <c r="AO94"/>
      <c r="AP94" s="301"/>
      <c r="AQ94" s="313">
        <f t="shared" si="21"/>
        <v>30</v>
      </c>
      <c r="AR94">
        <f t="shared" si="19"/>
        <v>1145.5999999999999</v>
      </c>
      <c r="AS94">
        <f t="shared" si="20"/>
        <v>0</v>
      </c>
      <c r="AT94"/>
      <c r="AU94"/>
      <c r="AV94"/>
      <c r="AW94"/>
      <c r="AX94"/>
      <c r="AY94"/>
      <c r="AZ94"/>
      <c r="BA94"/>
      <c r="BB94"/>
      <c r="BC94"/>
      <c r="BD94"/>
      <c r="BE94"/>
    </row>
    <row r="95" spans="2:57" ht="27" customHeight="1" x14ac:dyDescent="0.2">
      <c r="B95" s="332">
        <f t="shared" si="18"/>
        <v>34</v>
      </c>
      <c r="C95" s="381" t="s">
        <v>62</v>
      </c>
      <c r="D95" s="381" t="s">
        <v>85</v>
      </c>
      <c r="E95" s="374">
        <v>120.5</v>
      </c>
      <c r="F95" s="351">
        <v>3.677</v>
      </c>
      <c r="G95" s="286">
        <v>120.75</v>
      </c>
      <c r="H95" s="286">
        <v>4.1539999999999999</v>
      </c>
      <c r="I95" s="286">
        <v>120.57</v>
      </c>
      <c r="J95" s="781">
        <v>3.8108</v>
      </c>
      <c r="K95" s="348"/>
      <c r="L95" s="813"/>
      <c r="M95" s="452"/>
      <c r="AB95"/>
      <c r="AC95"/>
      <c r="AD95"/>
      <c r="AE95"/>
      <c r="AF95"/>
      <c r="AG95"/>
      <c r="AH95"/>
      <c r="AI95"/>
      <c r="AJ95"/>
      <c r="AK95"/>
      <c r="AL95"/>
      <c r="AM95"/>
      <c r="AN95"/>
      <c r="AO95"/>
      <c r="AP95" s="301"/>
      <c r="AQ95" s="313">
        <f t="shared" si="21"/>
        <v>31</v>
      </c>
      <c r="AR95">
        <f t="shared" si="19"/>
        <v>1123.8399999999999</v>
      </c>
      <c r="AS95">
        <f t="shared" si="20"/>
        <v>0</v>
      </c>
      <c r="AT95"/>
      <c r="AU95"/>
      <c r="AV95"/>
      <c r="AW95"/>
      <c r="AX95"/>
      <c r="AY95"/>
      <c r="AZ95"/>
      <c r="BA95"/>
      <c r="BB95"/>
      <c r="BC95"/>
      <c r="BD95"/>
      <c r="BE95"/>
    </row>
    <row r="96" spans="2:57" ht="27" customHeight="1" x14ac:dyDescent="0.2">
      <c r="B96" s="332">
        <f t="shared" si="18"/>
        <v>35</v>
      </c>
      <c r="C96" s="381" t="s">
        <v>63</v>
      </c>
      <c r="D96" s="381" t="s">
        <v>86</v>
      </c>
      <c r="E96" s="374">
        <v>110.56</v>
      </c>
      <c r="F96" s="351">
        <v>2.75</v>
      </c>
      <c r="G96" s="286">
        <v>110.36</v>
      </c>
      <c r="H96" s="286">
        <v>2.371</v>
      </c>
      <c r="I96" s="286">
        <v>110.54</v>
      </c>
      <c r="J96" s="781">
        <v>2.7121</v>
      </c>
      <c r="K96" s="348"/>
      <c r="L96" s="813"/>
      <c r="M96" s="817"/>
      <c r="AB96"/>
      <c r="AC96"/>
      <c r="AD96"/>
      <c r="AE96"/>
      <c r="AF96"/>
      <c r="AG96"/>
      <c r="AH96"/>
      <c r="AI96"/>
      <c r="AJ96"/>
      <c r="AK96"/>
      <c r="AL96"/>
      <c r="AM96"/>
      <c r="AN96"/>
      <c r="AO96"/>
      <c r="AP96" s="301"/>
      <c r="AQ96" s="313">
        <f t="shared" si="21"/>
        <v>32</v>
      </c>
      <c r="AR96">
        <f t="shared" ref="AR96:AR102" si="23">IF(AD7="tad","tad",AD7)</f>
        <v>1146.01</v>
      </c>
      <c r="AS96">
        <f t="shared" si="20"/>
        <v>0</v>
      </c>
      <c r="AT96"/>
      <c r="AU96"/>
      <c r="AV96"/>
      <c r="AW96"/>
      <c r="AX96"/>
      <c r="AY96"/>
      <c r="AZ96"/>
      <c r="BA96"/>
      <c r="BB96"/>
      <c r="BC96"/>
      <c r="BD96"/>
      <c r="BE96"/>
    </row>
    <row r="97" spans="2:57" ht="27" customHeight="1" x14ac:dyDescent="0.2">
      <c r="B97" s="332">
        <f t="shared" si="18"/>
        <v>36</v>
      </c>
      <c r="C97" s="381" t="s">
        <v>64</v>
      </c>
      <c r="D97" s="381" t="s">
        <v>87</v>
      </c>
      <c r="E97" s="374">
        <v>72</v>
      </c>
      <c r="F97" s="351">
        <v>38.036000000000001</v>
      </c>
      <c r="G97" s="286">
        <v>66.75</v>
      </c>
      <c r="H97" s="333">
        <v>24.373999999999999</v>
      </c>
      <c r="I97" s="286">
        <v>65.8</v>
      </c>
      <c r="J97" s="784">
        <v>22.591000000000001</v>
      </c>
      <c r="K97" s="348"/>
      <c r="L97" s="816"/>
      <c r="M97" s="454"/>
      <c r="AB97"/>
      <c r="AC97"/>
      <c r="AD97"/>
      <c r="AE97"/>
      <c r="AF97"/>
      <c r="AG97"/>
      <c r="AH97"/>
      <c r="AI97"/>
      <c r="AJ97"/>
      <c r="AK97"/>
      <c r="AL97"/>
      <c r="AM97"/>
      <c r="AN97"/>
      <c r="AO97"/>
      <c r="AP97" s="301"/>
      <c r="AQ97" s="313">
        <f t="shared" si="21"/>
        <v>33</v>
      </c>
      <c r="AR97">
        <f t="shared" si="23"/>
        <v>1155.23</v>
      </c>
      <c r="AS97">
        <f t="shared" si="20"/>
        <v>0</v>
      </c>
      <c r="AT97"/>
      <c r="AU97"/>
      <c r="AV97"/>
      <c r="AW97"/>
      <c r="AX97"/>
      <c r="AY97"/>
      <c r="AZ97"/>
      <c r="BA97"/>
      <c r="BB97"/>
      <c r="BC97"/>
      <c r="BD97"/>
      <c r="BE97"/>
    </row>
    <row r="98" spans="2:57" ht="27" customHeight="1" x14ac:dyDescent="0.2">
      <c r="B98" s="332">
        <f t="shared" si="18"/>
        <v>37</v>
      </c>
      <c r="C98" s="381" t="s">
        <v>65</v>
      </c>
      <c r="D98" s="381" t="s">
        <v>87</v>
      </c>
      <c r="E98" s="374">
        <v>185</v>
      </c>
      <c r="F98" s="351">
        <v>388.72199999999998</v>
      </c>
      <c r="G98" s="286">
        <v>170.3</v>
      </c>
      <c r="H98" s="333">
        <v>246.3</v>
      </c>
      <c r="I98" s="466">
        <v>175.27</v>
      </c>
      <c r="J98" s="790">
        <v>292.57600000000002</v>
      </c>
      <c r="K98" s="348"/>
      <c r="L98" s="816"/>
      <c r="M98" s="526"/>
      <c r="AB98"/>
      <c r="AC98"/>
      <c r="AD98"/>
      <c r="AE98"/>
      <c r="AF98"/>
      <c r="AG98"/>
      <c r="AH98"/>
      <c r="AI98"/>
      <c r="AJ98"/>
      <c r="AK98"/>
      <c r="AL98"/>
      <c r="AM98"/>
      <c r="AN98"/>
      <c r="AO98"/>
      <c r="AP98" s="301"/>
      <c r="AQ98" s="313">
        <f t="shared" si="21"/>
        <v>34</v>
      </c>
      <c r="AR98">
        <f t="shared" si="23"/>
        <v>1160.23</v>
      </c>
      <c r="AS98">
        <f t="shared" si="20"/>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v>
      </c>
      <c r="H99" s="333">
        <v>5.181</v>
      </c>
      <c r="I99" s="286">
        <v>229.96</v>
      </c>
      <c r="J99" s="333">
        <v>10.224</v>
      </c>
      <c r="K99" s="348"/>
      <c r="L99" s="816"/>
      <c r="M99" s="454"/>
      <c r="AB99"/>
      <c r="AC99"/>
      <c r="AD99"/>
      <c r="AE99"/>
      <c r="AF99"/>
      <c r="AG99"/>
      <c r="AH99"/>
      <c r="AI99"/>
      <c r="AJ99"/>
      <c r="AK99"/>
      <c r="AL99"/>
      <c r="AM99"/>
      <c r="AN99"/>
      <c r="AO99"/>
      <c r="AP99" s="301"/>
      <c r="AQ99" s="313">
        <f t="shared" si="21"/>
        <v>35</v>
      </c>
      <c r="AR99">
        <f t="shared" si="23"/>
        <v>1162.3499999999999</v>
      </c>
      <c r="AS99">
        <f t="shared" si="20"/>
        <v>0</v>
      </c>
      <c r="AT99"/>
      <c r="AU99"/>
      <c r="AV99"/>
      <c r="AW99"/>
      <c r="AX99"/>
      <c r="AY99"/>
      <c r="AZ99"/>
      <c r="BA99"/>
      <c r="BB99"/>
      <c r="BC99"/>
      <c r="BD99"/>
      <c r="BE99"/>
    </row>
    <row r="100" spans="2:57" ht="27" customHeight="1" x14ac:dyDescent="0.2">
      <c r="B100" s="330">
        <v>39</v>
      </c>
      <c r="C100" s="331" t="s">
        <v>212</v>
      </c>
      <c r="D100" s="331" t="s">
        <v>76</v>
      </c>
      <c r="E100" s="352">
        <v>149.30000000000001</v>
      </c>
      <c r="F100" s="377">
        <v>17.670000000000002</v>
      </c>
      <c r="G100" s="352">
        <v>146.06</v>
      </c>
      <c r="H100" s="377">
        <v>8.5</v>
      </c>
      <c r="I100" s="726">
        <v>149.38999999999999</v>
      </c>
      <c r="J100" s="779">
        <v>11.01</v>
      </c>
      <c r="K100" s="440"/>
      <c r="L100" s="818"/>
      <c r="M100" s="455"/>
      <c r="AB100"/>
      <c r="AC100"/>
      <c r="AD100"/>
      <c r="AE100"/>
      <c r="AF100"/>
      <c r="AG100"/>
      <c r="AH100"/>
      <c r="AI100"/>
      <c r="AJ100"/>
      <c r="AK100"/>
      <c r="AL100"/>
      <c r="AM100"/>
      <c r="AN100"/>
      <c r="AO100"/>
      <c r="AP100" s="301"/>
      <c r="AQ100" s="313">
        <f t="shared" si="21"/>
        <v>36</v>
      </c>
      <c r="AR100">
        <f t="shared" si="23"/>
        <v>1165.76</v>
      </c>
      <c r="AS100">
        <f t="shared" si="20"/>
        <v>0</v>
      </c>
      <c r="AT100"/>
      <c r="AU100"/>
      <c r="AV100"/>
      <c r="AW100"/>
      <c r="AX100"/>
      <c r="AY100"/>
      <c r="AZ100"/>
      <c r="BA100"/>
      <c r="BB100"/>
      <c r="BC100"/>
      <c r="BD100"/>
      <c r="BE100"/>
    </row>
    <row r="101" spans="2:57" ht="27" customHeight="1" x14ac:dyDescent="0.25">
      <c r="B101" s="332">
        <f>+B100+1</f>
        <v>40</v>
      </c>
      <c r="C101" s="381" t="s">
        <v>213</v>
      </c>
      <c r="D101" s="381" t="s">
        <v>80</v>
      </c>
      <c r="E101" s="374">
        <v>39</v>
      </c>
      <c r="F101" s="351">
        <v>0.47399999999999998</v>
      </c>
      <c r="G101" s="374"/>
      <c r="H101" s="351"/>
      <c r="I101" s="730">
        <v>39.07</v>
      </c>
      <c r="J101" s="784">
        <v>0.48599999999999999</v>
      </c>
      <c r="K101" s="440"/>
      <c r="L101" s="819"/>
      <c r="M101" s="454"/>
      <c r="AB101"/>
      <c r="AC101"/>
      <c r="AD101"/>
      <c r="AE101"/>
      <c r="AF101"/>
      <c r="AG101"/>
      <c r="AH101"/>
      <c r="AI101"/>
      <c r="AJ101"/>
      <c r="AK101"/>
      <c r="AL101"/>
      <c r="AM101"/>
      <c r="AN101"/>
      <c r="AO101"/>
      <c r="AP101" s="301"/>
      <c r="AQ101" s="313">
        <f t="shared" si="21"/>
        <v>37</v>
      </c>
      <c r="AR101">
        <f t="shared" si="23"/>
        <v>1171.9000000000001</v>
      </c>
      <c r="AS101">
        <f t="shared" si="20"/>
        <v>0</v>
      </c>
      <c r="AT101"/>
      <c r="AU101"/>
      <c r="AV101"/>
      <c r="AW101"/>
      <c r="AX101"/>
      <c r="AY101"/>
      <c r="AZ101"/>
      <c r="BA101"/>
      <c r="BB101"/>
      <c r="BC101"/>
      <c r="BD101"/>
      <c r="BE101"/>
    </row>
    <row r="102" spans="2:57" ht="27" customHeight="1" thickBot="1" x14ac:dyDescent="0.3">
      <c r="B102" s="334">
        <v>41</v>
      </c>
      <c r="C102" s="335" t="s">
        <v>214</v>
      </c>
      <c r="D102" s="335" t="s">
        <v>80</v>
      </c>
      <c r="E102" s="382">
        <v>70</v>
      </c>
      <c r="F102" s="353">
        <v>0.81699999999999995</v>
      </c>
      <c r="G102" s="382"/>
      <c r="H102" s="353"/>
      <c r="I102" s="725">
        <v>70.05</v>
      </c>
      <c r="J102" s="784">
        <v>0.753</v>
      </c>
      <c r="K102" s="441"/>
      <c r="L102" s="820"/>
      <c r="M102" s="454"/>
      <c r="AB102"/>
      <c r="AC102"/>
      <c r="AD102"/>
      <c r="AE102"/>
      <c r="AF102"/>
      <c r="AG102"/>
      <c r="AH102"/>
      <c r="AI102"/>
      <c r="AJ102"/>
      <c r="AK102"/>
      <c r="AL102"/>
      <c r="AM102"/>
      <c r="AN102"/>
      <c r="AO102"/>
      <c r="AP102" s="301"/>
      <c r="AQ102" s="313">
        <f t="shared" si="21"/>
        <v>38</v>
      </c>
      <c r="AR102">
        <f t="shared" si="23"/>
        <v>1179.1300000000001</v>
      </c>
      <c r="AS102">
        <f t="shared" si="20"/>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1047.3910000000001</v>
      </c>
      <c r="I103" s="355"/>
      <c r="J103" s="312">
        <f>SUM(J62:J102)</f>
        <v>1326.1585000000002</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1.2661541869273272</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216</v>
      </c>
      <c r="D105" s="339"/>
      <c r="E105" s="422">
        <v>1736.79</v>
      </c>
      <c r="F105" s="360">
        <v>1</v>
      </c>
      <c r="G105" s="361" t="s">
        <v>68</v>
      </c>
      <c r="H105" s="360">
        <f>+H103/F103*100%</f>
        <v>0.57743046349665439</v>
      </c>
      <c r="I105" s="362"/>
      <c r="J105" s="297">
        <f>+J103/F103</f>
        <v>0.73111599901567614</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4">IF(AD14="tad","tad",AD14)</f>
        <v>1189.47</v>
      </c>
      <c r="AS106">
        <f t="shared" si="20"/>
        <v>0</v>
      </c>
      <c r="AT106"/>
      <c r="AU106"/>
      <c r="AV106"/>
      <c r="AW106"/>
      <c r="AX106"/>
      <c r="AY106"/>
      <c r="AZ106"/>
      <c r="BA106"/>
      <c r="BB106"/>
      <c r="BC106"/>
      <c r="BD106"/>
      <c r="BE106"/>
    </row>
    <row r="107" spans="2:57" ht="27" customHeight="1" thickBot="1" x14ac:dyDescent="0.25">
      <c r="B107" s="327"/>
      <c r="C107" s="289"/>
      <c r="D107" s="289"/>
      <c r="E107" s="289"/>
      <c r="F107" s="569">
        <v>26</v>
      </c>
      <c r="G107" s="620" t="s">
        <v>258</v>
      </c>
      <c r="H107" s="569">
        <v>2022</v>
      </c>
      <c r="I107" s="743"/>
      <c r="J107" s="289"/>
      <c r="K107" s="344"/>
      <c r="L107" s="345"/>
      <c r="M107" s="195"/>
      <c r="AB107"/>
      <c r="AC107"/>
      <c r="AD107"/>
      <c r="AE107"/>
      <c r="AF107"/>
      <c r="AG107"/>
      <c r="AH107"/>
      <c r="AI107"/>
      <c r="AJ107"/>
      <c r="AK107"/>
      <c r="AL107"/>
      <c r="AM107"/>
      <c r="AN107"/>
      <c r="AO107"/>
      <c r="AP107" s="301"/>
      <c r="AQ107" s="313">
        <f t="shared" si="21"/>
        <v>40</v>
      </c>
      <c r="AR107">
        <f t="shared" si="24"/>
        <v>1190.58</v>
      </c>
      <c r="AS107">
        <f t="shared" si="20"/>
        <v>0</v>
      </c>
      <c r="AT107"/>
      <c r="AU107"/>
      <c r="AV107"/>
      <c r="AW107"/>
      <c r="AX107"/>
      <c r="AY107"/>
      <c r="AZ107"/>
      <c r="BA107"/>
      <c r="BB107"/>
      <c r="BC107"/>
      <c r="BD107"/>
      <c r="BE107"/>
    </row>
    <row r="108" spans="2:57" ht="27" customHeight="1" x14ac:dyDescent="0.2">
      <c r="B108" s="426" t="s">
        <v>18</v>
      </c>
      <c r="C108" s="429" t="s">
        <v>19</v>
      </c>
      <c r="D108" s="429" t="s">
        <v>73</v>
      </c>
      <c r="E108" s="915" t="s">
        <v>20</v>
      </c>
      <c r="F108" s="916"/>
      <c r="G108" s="915" t="s">
        <v>94</v>
      </c>
      <c r="H108" s="916"/>
      <c r="I108" s="915" t="s">
        <v>22</v>
      </c>
      <c r="J108" s="916"/>
      <c r="K108" s="423"/>
      <c r="L108" s="346"/>
      <c r="M108" s="196"/>
      <c r="AB108"/>
      <c r="AC108"/>
      <c r="AD108"/>
      <c r="AE108"/>
      <c r="AF108"/>
      <c r="AG108"/>
      <c r="AH108"/>
      <c r="AI108"/>
      <c r="AJ108"/>
      <c r="AK108"/>
      <c r="AL108"/>
      <c r="AM108"/>
      <c r="AN108"/>
      <c r="AO108"/>
      <c r="AP108" s="301"/>
      <c r="AQ108" s="313">
        <f t="shared" si="21"/>
        <v>41</v>
      </c>
      <c r="AR108">
        <f t="shared" si="24"/>
        <v>1202.24</v>
      </c>
      <c r="AS108">
        <f t="shared" si="20"/>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1"/>
        <v>42</v>
      </c>
      <c r="AR109">
        <f t="shared" si="24"/>
        <v>1209.53</v>
      </c>
      <c r="AS109">
        <f t="shared" si="20"/>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1"/>
        <v>43</v>
      </c>
      <c r="AR110">
        <f t="shared" si="24"/>
        <v>1208.1500000000001</v>
      </c>
      <c r="AS110">
        <f t="shared" si="20"/>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1"/>
        <v>44</v>
      </c>
      <c r="AR111">
        <f t="shared" si="24"/>
        <v>1223.95</v>
      </c>
      <c r="AS111">
        <f t="shared" si="20"/>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55.73</v>
      </c>
      <c r="H112" s="285">
        <v>30.887</v>
      </c>
      <c r="I112" s="285">
        <v>55.24</v>
      </c>
      <c r="J112" s="285">
        <v>28.120999999999999</v>
      </c>
      <c r="K112" s="348"/>
      <c r="L112" s="527"/>
      <c r="M112" s="194"/>
      <c r="AB112"/>
      <c r="AC112"/>
      <c r="AD112"/>
      <c r="AE112"/>
      <c r="AF112"/>
      <c r="AG112"/>
      <c r="AH112"/>
      <c r="AI112"/>
      <c r="AJ112"/>
      <c r="AK112"/>
      <c r="AL112"/>
      <c r="AM112"/>
      <c r="AN112"/>
      <c r="AO112"/>
      <c r="AP112" s="301"/>
      <c r="AQ112" s="313">
        <f t="shared" si="21"/>
        <v>45</v>
      </c>
      <c r="AR112">
        <f t="shared" si="24"/>
        <v>1246.25</v>
      </c>
      <c r="AS112">
        <f t="shared" si="20"/>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338.7</v>
      </c>
      <c r="H113" s="333">
        <v>7.0949999999999998</v>
      </c>
      <c r="I113" s="286">
        <v>339.2</v>
      </c>
      <c r="J113" s="333">
        <v>7.52</v>
      </c>
      <c r="K113" s="348"/>
      <c r="L113" s="528"/>
      <c r="M113" s="194"/>
      <c r="AB113"/>
      <c r="AC113"/>
      <c r="AD113"/>
      <c r="AE113"/>
      <c r="AF113"/>
      <c r="AG113"/>
      <c r="AH113"/>
      <c r="AI113"/>
      <c r="AJ113"/>
      <c r="AK113"/>
      <c r="AL113"/>
      <c r="AM113"/>
      <c r="AN113"/>
      <c r="AO113"/>
      <c r="AP113" s="301"/>
      <c r="AQ113" s="313">
        <f t="shared" si="21"/>
        <v>46</v>
      </c>
      <c r="AR113">
        <f t="shared" si="24"/>
        <v>1270.22</v>
      </c>
      <c r="AS113">
        <f t="shared" si="20"/>
        <v>0</v>
      </c>
      <c r="AT113"/>
      <c r="AU113"/>
      <c r="AV113"/>
      <c r="AW113"/>
      <c r="AX113"/>
      <c r="AY113"/>
      <c r="AZ113"/>
      <c r="BA113"/>
      <c r="BB113"/>
      <c r="BC113"/>
      <c r="BD113"/>
      <c r="BE113"/>
    </row>
    <row r="114" spans="2:57" ht="27" customHeight="1" x14ac:dyDescent="0.2">
      <c r="B114" s="332">
        <f t="shared" ref="B114:B148" si="25">+B113+1</f>
        <v>3</v>
      </c>
      <c r="C114" s="381" t="s">
        <v>30</v>
      </c>
      <c r="D114" s="381" t="s">
        <v>75</v>
      </c>
      <c r="E114" s="374">
        <v>77.5</v>
      </c>
      <c r="F114" s="351">
        <v>49.02</v>
      </c>
      <c r="G114" s="286">
        <v>74.11</v>
      </c>
      <c r="H114" s="333">
        <v>29.640999999999998</v>
      </c>
      <c r="I114" s="286">
        <v>77.459999999999994</v>
      </c>
      <c r="J114" s="333">
        <v>48.759</v>
      </c>
      <c r="K114" s="348"/>
      <c r="L114" s="528"/>
      <c r="M114" s="439"/>
      <c r="AB114"/>
      <c r="AC114"/>
      <c r="AD114"/>
      <c r="AE114"/>
      <c r="AF114"/>
      <c r="AG114"/>
      <c r="AH114"/>
      <c r="AI114"/>
      <c r="AJ114"/>
      <c r="AK114"/>
      <c r="AL114"/>
      <c r="AM114"/>
      <c r="AN114"/>
      <c r="AO114"/>
      <c r="AP114" s="301"/>
      <c r="AQ114" s="313">
        <f t="shared" si="21"/>
        <v>47</v>
      </c>
      <c r="AR114">
        <f t="shared" si="24"/>
        <v>1280.3399999999999</v>
      </c>
      <c r="AS114">
        <f t="shared" si="20"/>
        <v>0</v>
      </c>
      <c r="AT114"/>
      <c r="AU114"/>
      <c r="AV114"/>
      <c r="AW114"/>
      <c r="AX114"/>
      <c r="AY114"/>
      <c r="AZ114"/>
      <c r="BA114"/>
      <c r="BB114"/>
      <c r="BC114"/>
      <c r="BD114"/>
      <c r="BE114"/>
    </row>
    <row r="115" spans="2:57" ht="27" customHeight="1" x14ac:dyDescent="0.2">
      <c r="B115" s="332">
        <f t="shared" si="25"/>
        <v>4</v>
      </c>
      <c r="C115" s="381" t="s">
        <v>31</v>
      </c>
      <c r="D115" s="381" t="s">
        <v>76</v>
      </c>
      <c r="E115" s="374">
        <v>463.3</v>
      </c>
      <c r="F115" s="351">
        <v>49.9</v>
      </c>
      <c r="G115" s="373">
        <v>462.39</v>
      </c>
      <c r="H115" s="373">
        <v>35.720999999999997</v>
      </c>
      <c r="I115" s="351">
        <v>462.52</v>
      </c>
      <c r="J115" s="333">
        <v>38.179000000000002</v>
      </c>
      <c r="K115" s="348"/>
      <c r="L115" s="529"/>
      <c r="M115" s="194"/>
      <c r="AB115"/>
      <c r="AC115"/>
      <c r="AD115"/>
      <c r="AE115"/>
      <c r="AF115"/>
      <c r="AG115"/>
      <c r="AH115"/>
      <c r="AI115"/>
      <c r="AJ115"/>
      <c r="AK115"/>
      <c r="AL115"/>
      <c r="AM115"/>
      <c r="AN115"/>
      <c r="AO115"/>
      <c r="AP115" s="301"/>
      <c r="AQ115" s="313">
        <f t="shared" si="21"/>
        <v>48</v>
      </c>
      <c r="AR115">
        <f t="shared" si="24"/>
        <v>1292.32</v>
      </c>
      <c r="AS115">
        <f t="shared" si="20"/>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205.3</v>
      </c>
      <c r="H116" s="287">
        <v>7.3540000000000001</v>
      </c>
      <c r="I116" s="725">
        <v>206.3</v>
      </c>
      <c r="J116" s="781">
        <v>8.67</v>
      </c>
      <c r="K116" s="348"/>
      <c r="L116" s="530"/>
      <c r="AB116"/>
      <c r="AC116"/>
      <c r="AD116"/>
      <c r="AE116"/>
      <c r="AF116"/>
      <c r="AG116"/>
      <c r="AH116"/>
      <c r="AI116"/>
      <c r="AJ116"/>
      <c r="AK116"/>
      <c r="AL116"/>
      <c r="AM116"/>
      <c r="AN116"/>
      <c r="AO116"/>
      <c r="AP116" s="301"/>
      <c r="AQ116" s="313">
        <f t="shared" si="21"/>
        <v>49</v>
      </c>
      <c r="AR116">
        <f t="shared" si="24"/>
        <v>1299.3900000000001</v>
      </c>
      <c r="AS116">
        <f t="shared" si="20"/>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316.26</v>
      </c>
      <c r="H117" s="287">
        <v>3.4660000000000002</v>
      </c>
      <c r="I117" s="725">
        <v>317.35000000000002</v>
      </c>
      <c r="J117" s="781">
        <v>3.9460000000000002</v>
      </c>
      <c r="K117" s="348"/>
      <c r="L117" s="531"/>
      <c r="AB117"/>
      <c r="AC117"/>
      <c r="AD117"/>
      <c r="AE117"/>
      <c r="AF117"/>
      <c r="AG117"/>
      <c r="AH117"/>
      <c r="AI117"/>
      <c r="AJ117"/>
      <c r="AK117"/>
      <c r="AL117"/>
      <c r="AM117"/>
      <c r="AN117"/>
      <c r="AO117"/>
      <c r="AP117" s="301"/>
      <c r="AQ117" s="313">
        <f t="shared" si="21"/>
        <v>50</v>
      </c>
      <c r="AR117">
        <f t="shared" si="24"/>
        <v>1313.45</v>
      </c>
      <c r="AS117">
        <f t="shared" si="20"/>
        <v>0</v>
      </c>
      <c r="AT117"/>
      <c r="AU117"/>
      <c r="AV117"/>
      <c r="AW117"/>
      <c r="AX117"/>
      <c r="AY117"/>
      <c r="AZ117"/>
      <c r="BA117"/>
      <c r="BB117"/>
      <c r="BC117"/>
      <c r="BD117"/>
      <c r="BE117"/>
    </row>
    <row r="118" spans="2:57" ht="27" customHeight="1" x14ac:dyDescent="0.25">
      <c r="B118" s="332">
        <f t="shared" si="25"/>
        <v>7</v>
      </c>
      <c r="C118" s="381" t="s">
        <v>34</v>
      </c>
      <c r="D118" s="381" t="s">
        <v>78</v>
      </c>
      <c r="E118" s="374">
        <v>90</v>
      </c>
      <c r="F118" s="351">
        <v>689.09100000000001</v>
      </c>
      <c r="G118" s="286">
        <v>85.14</v>
      </c>
      <c r="H118" s="286">
        <v>466.26100000000002</v>
      </c>
      <c r="I118" s="725">
        <v>88.36</v>
      </c>
      <c r="J118" s="781">
        <v>604.45799999999997</v>
      </c>
      <c r="K118" s="348"/>
      <c r="L118" s="530"/>
      <c r="AB118"/>
      <c r="AC118"/>
      <c r="AD118"/>
      <c r="AE118"/>
      <c r="AF118"/>
      <c r="AG118"/>
      <c r="AH118"/>
      <c r="AI118"/>
      <c r="AJ118"/>
      <c r="AK118"/>
      <c r="AL118"/>
      <c r="AM118"/>
      <c r="AN118"/>
      <c r="AO118"/>
      <c r="AP118" s="301"/>
      <c r="AQ118" s="313">
        <f t="shared" si="21"/>
        <v>51</v>
      </c>
      <c r="AR118">
        <f t="shared" si="24"/>
        <v>1308.3</v>
      </c>
      <c r="AS118">
        <f t="shared" si="20"/>
        <v>0</v>
      </c>
      <c r="AT118"/>
      <c r="AU118"/>
      <c r="AV118"/>
      <c r="AW118"/>
      <c r="AX118"/>
      <c r="AY118"/>
      <c r="AZ118"/>
      <c r="BA118"/>
      <c r="BB118"/>
      <c r="BC118"/>
      <c r="BD118"/>
      <c r="BE118"/>
    </row>
    <row r="119" spans="2:57" ht="27" customHeight="1" x14ac:dyDescent="0.2">
      <c r="B119" s="332">
        <f t="shared" si="25"/>
        <v>8</v>
      </c>
      <c r="C119" s="381" t="s">
        <v>35</v>
      </c>
      <c r="D119" s="381" t="s">
        <v>79</v>
      </c>
      <c r="E119" s="374">
        <v>120.5</v>
      </c>
      <c r="F119" s="351">
        <v>2.0920000000000001</v>
      </c>
      <c r="G119" s="286">
        <v>118.44</v>
      </c>
      <c r="H119" s="333">
        <v>1.232</v>
      </c>
      <c r="I119" s="375">
        <v>117.33</v>
      </c>
      <c r="J119" s="781">
        <v>0.64900000000000002</v>
      </c>
      <c r="K119" s="348"/>
      <c r="L119" s="532"/>
      <c r="AB119"/>
      <c r="AC119"/>
      <c r="AD119"/>
      <c r="AE119"/>
      <c r="AF119"/>
      <c r="AG119"/>
      <c r="AH119"/>
      <c r="AI119"/>
      <c r="AJ119"/>
      <c r="AK119"/>
      <c r="AL119"/>
      <c r="AM119"/>
      <c r="AN119"/>
      <c r="AO119"/>
      <c r="AP119" s="301"/>
      <c r="AQ119" s="313">
        <f t="shared" si="21"/>
        <v>52</v>
      </c>
      <c r="AR119">
        <f t="shared" si="24"/>
        <v>1306.71</v>
      </c>
      <c r="AS119">
        <f t="shared" si="20"/>
        <v>0</v>
      </c>
      <c r="AT119"/>
      <c r="AU119"/>
      <c r="AV119"/>
      <c r="AW119"/>
      <c r="AX119"/>
      <c r="AY119"/>
      <c r="AZ119"/>
      <c r="BA119"/>
      <c r="BB119"/>
      <c r="BC119"/>
      <c r="BD119"/>
      <c r="BE119"/>
    </row>
    <row r="120" spans="2:57" ht="27" customHeight="1" x14ac:dyDescent="0.25">
      <c r="B120" s="332">
        <f t="shared" si="25"/>
        <v>9</v>
      </c>
      <c r="C120" s="381" t="s">
        <v>36</v>
      </c>
      <c r="D120" s="381" t="s">
        <v>79</v>
      </c>
      <c r="E120" s="374">
        <v>120.8</v>
      </c>
      <c r="F120" s="351">
        <v>2.3530000000000002</v>
      </c>
      <c r="G120" s="286">
        <v>115.88</v>
      </c>
      <c r="H120" s="333">
        <v>0.96199999999999997</v>
      </c>
      <c r="I120" s="725">
        <v>116.35</v>
      </c>
      <c r="J120" s="781">
        <v>0.318</v>
      </c>
      <c r="K120" s="348"/>
      <c r="L120" s="530"/>
      <c r="AB120"/>
      <c r="AC120"/>
      <c r="AD120"/>
      <c r="AE120"/>
      <c r="AF120"/>
      <c r="AG120"/>
      <c r="AH120"/>
      <c r="AI120"/>
      <c r="AJ120"/>
      <c r="AK120"/>
      <c r="AL120"/>
      <c r="AM120"/>
      <c r="AN120"/>
      <c r="AO120"/>
      <c r="AP120" s="301"/>
      <c r="AQ120" s="313">
        <f t="shared" si="21"/>
        <v>53</v>
      </c>
      <c r="AR120">
        <f t="shared" si="24"/>
        <v>1308.99</v>
      </c>
      <c r="AS120">
        <f t="shared" si="20"/>
        <v>0</v>
      </c>
      <c r="AT120"/>
      <c r="AU120"/>
      <c r="AV120"/>
      <c r="AW120"/>
      <c r="AX120"/>
      <c r="AY120"/>
      <c r="AZ120"/>
      <c r="BA120"/>
      <c r="BB120"/>
      <c r="BC120"/>
      <c r="BD120"/>
      <c r="BE120"/>
    </row>
    <row r="121" spans="2:57" ht="27" customHeight="1" x14ac:dyDescent="0.25">
      <c r="B121" s="332">
        <f t="shared" si="25"/>
        <v>10</v>
      </c>
      <c r="C121" s="381" t="s">
        <v>37</v>
      </c>
      <c r="D121" s="381" t="s">
        <v>80</v>
      </c>
      <c r="E121" s="374">
        <v>46.5</v>
      </c>
      <c r="F121" s="374">
        <v>4.5999999999999996</v>
      </c>
      <c r="G121" s="286">
        <v>42.79</v>
      </c>
      <c r="H121" s="286">
        <v>1.9059999999999999</v>
      </c>
      <c r="I121" s="725">
        <v>42.63</v>
      </c>
      <c r="J121" s="787">
        <v>1.536</v>
      </c>
      <c r="K121" s="348"/>
      <c r="L121" s="530"/>
      <c r="AB121"/>
      <c r="AC121"/>
      <c r="AD121"/>
      <c r="AE121"/>
      <c r="AF121"/>
      <c r="AG121"/>
      <c r="AH121"/>
      <c r="AI121"/>
      <c r="AJ121"/>
      <c r="AK121"/>
      <c r="AL121"/>
      <c r="AM121"/>
      <c r="AN121"/>
      <c r="AO121"/>
      <c r="AP121" s="301"/>
      <c r="AQ121" s="313">
        <f t="shared" si="21"/>
        <v>54</v>
      </c>
      <c r="AR121">
        <f t="shared" si="24"/>
        <v>1310.3</v>
      </c>
      <c r="AS121">
        <f t="shared" si="20"/>
        <v>0</v>
      </c>
      <c r="AT121"/>
      <c r="AU121"/>
      <c r="AV121"/>
      <c r="AW121"/>
      <c r="AX121"/>
      <c r="AY121"/>
      <c r="AZ121"/>
      <c r="BA121"/>
      <c r="BB121"/>
      <c r="BC121"/>
      <c r="BD121"/>
      <c r="BE121"/>
    </row>
    <row r="122" spans="2:57" ht="27" customHeight="1" x14ac:dyDescent="0.25">
      <c r="B122" s="332">
        <f t="shared" si="25"/>
        <v>11</v>
      </c>
      <c r="C122" s="381" t="s">
        <v>39</v>
      </c>
      <c r="D122" s="381" t="s">
        <v>80</v>
      </c>
      <c r="E122" s="374">
        <v>51.5</v>
      </c>
      <c r="F122" s="351">
        <v>2.4159999999999999</v>
      </c>
      <c r="G122" s="286">
        <v>48.52</v>
      </c>
      <c r="H122" s="286">
        <v>1.4239999999999999</v>
      </c>
      <c r="I122" s="729">
        <v>49.65</v>
      </c>
      <c r="J122" s="781">
        <v>1.796</v>
      </c>
      <c r="K122" s="348"/>
      <c r="L122" s="530"/>
      <c r="AB122"/>
      <c r="AC122"/>
      <c r="AD122"/>
      <c r="AE122"/>
      <c r="AF122"/>
      <c r="AG122"/>
      <c r="AH122"/>
      <c r="AI122"/>
      <c r="AJ122"/>
      <c r="AK122"/>
      <c r="AL122"/>
      <c r="AM122"/>
      <c r="AN122"/>
      <c r="AO122"/>
      <c r="AP122" s="301"/>
      <c r="AQ122" s="313">
        <f t="shared" si="21"/>
        <v>55</v>
      </c>
      <c r="AR122">
        <f t="shared" si="24"/>
        <v>1309.3499999999999</v>
      </c>
      <c r="AS122">
        <f t="shared" si="20"/>
        <v>0</v>
      </c>
      <c r="AT122"/>
      <c r="AU122"/>
      <c r="AV122"/>
      <c r="AW122"/>
      <c r="AX122"/>
      <c r="AY122"/>
      <c r="AZ122"/>
      <c r="BA122"/>
      <c r="BB122"/>
      <c r="BC122"/>
      <c r="BD122"/>
      <c r="BE122"/>
    </row>
    <row r="123" spans="2:57" ht="27" customHeight="1" x14ac:dyDescent="0.25">
      <c r="B123" s="332">
        <f t="shared" si="25"/>
        <v>12</v>
      </c>
      <c r="C123" s="381" t="s">
        <v>40</v>
      </c>
      <c r="D123" s="381" t="s">
        <v>78</v>
      </c>
      <c r="E123" s="374">
        <v>81</v>
      </c>
      <c r="F123" s="351">
        <v>1.093</v>
      </c>
      <c r="G123" s="286">
        <v>79.91</v>
      </c>
      <c r="H123" s="333">
        <v>0.745</v>
      </c>
      <c r="I123" s="725">
        <v>78.42</v>
      </c>
      <c r="J123" s="781">
        <v>0.82299999999999995</v>
      </c>
      <c r="K123" s="348"/>
      <c r="L123" s="530"/>
      <c r="AB123"/>
      <c r="AC123"/>
      <c r="AD123"/>
      <c r="AE123"/>
      <c r="AF123"/>
      <c r="AG123"/>
      <c r="AH123"/>
      <c r="AI123"/>
      <c r="AJ123"/>
      <c r="AK123"/>
      <c r="AL123"/>
      <c r="AM123"/>
      <c r="AN123"/>
      <c r="AO123"/>
      <c r="AP123" s="301"/>
      <c r="AQ123" s="313">
        <f t="shared" si="21"/>
        <v>56</v>
      </c>
      <c r="AR123">
        <f t="shared" si="24"/>
        <v>1305.58</v>
      </c>
      <c r="AS123">
        <f t="shared" si="20"/>
        <v>0</v>
      </c>
      <c r="AT123"/>
      <c r="AU123"/>
      <c r="AV123"/>
      <c r="AW123"/>
      <c r="AX123"/>
      <c r="AY123"/>
      <c r="AZ123"/>
      <c r="BA123"/>
      <c r="BB123"/>
      <c r="BC123"/>
      <c r="BD123"/>
      <c r="BE123"/>
    </row>
    <row r="124" spans="2:57" ht="27" customHeight="1" x14ac:dyDescent="0.25">
      <c r="B124" s="332">
        <f t="shared" si="25"/>
        <v>13</v>
      </c>
      <c r="C124" s="381" t="s">
        <v>41</v>
      </c>
      <c r="D124" s="381" t="s">
        <v>78</v>
      </c>
      <c r="E124" s="374">
        <v>82.8</v>
      </c>
      <c r="F124" s="351">
        <v>0.42899999999999999</v>
      </c>
      <c r="G124" s="286">
        <v>81.96</v>
      </c>
      <c r="H124" s="333">
        <v>0.30299999999999999</v>
      </c>
      <c r="I124" s="725">
        <v>81.31</v>
      </c>
      <c r="J124" s="781">
        <v>4.7E-2</v>
      </c>
      <c r="K124" s="348"/>
      <c r="L124" s="530"/>
      <c r="AB124"/>
      <c r="AC124"/>
      <c r="AD124"/>
      <c r="AE124"/>
      <c r="AF124"/>
      <c r="AG124"/>
      <c r="AH124"/>
      <c r="AI124"/>
      <c r="AJ124"/>
      <c r="AK124"/>
      <c r="AL124"/>
      <c r="AM124"/>
      <c r="AN124"/>
      <c r="AO124"/>
      <c r="AP124" s="301"/>
      <c r="AQ124" s="313">
        <f t="shared" si="21"/>
        <v>57</v>
      </c>
      <c r="AR124">
        <f t="shared" si="24"/>
        <v>1306.5</v>
      </c>
      <c r="AS124">
        <f t="shared" si="20"/>
        <v>0</v>
      </c>
      <c r="AT124"/>
      <c r="AU124"/>
      <c r="AV124"/>
      <c r="AW124"/>
      <c r="AX124"/>
      <c r="AY124"/>
      <c r="AZ124"/>
      <c r="BA124"/>
      <c r="BB124"/>
      <c r="BC124"/>
      <c r="BD124"/>
      <c r="BE124"/>
    </row>
    <row r="125" spans="2:57" ht="27" customHeight="1" x14ac:dyDescent="0.25">
      <c r="B125" s="332">
        <f t="shared" si="25"/>
        <v>14</v>
      </c>
      <c r="C125" s="381" t="s">
        <v>42</v>
      </c>
      <c r="D125" s="381" t="s">
        <v>78</v>
      </c>
      <c r="E125" s="374">
        <v>69.95</v>
      </c>
      <c r="F125" s="351">
        <v>0.25</v>
      </c>
      <c r="G125" s="286">
        <v>69.47</v>
      </c>
      <c r="H125" s="286">
        <v>0.17599999999999999</v>
      </c>
      <c r="I125" s="725">
        <v>63.68</v>
      </c>
      <c r="J125" s="781">
        <v>0.215</v>
      </c>
      <c r="K125" s="348"/>
      <c r="L125" s="530"/>
      <c r="AB125"/>
      <c r="AC125"/>
      <c r="AD125"/>
      <c r="AE125"/>
      <c r="AF125"/>
      <c r="AG125"/>
      <c r="AH125"/>
      <c r="AI125"/>
      <c r="AJ125"/>
      <c r="AK125"/>
      <c r="AL125"/>
      <c r="AM125"/>
      <c r="AN125"/>
      <c r="AO125"/>
      <c r="AP125" s="301"/>
      <c r="AQ125" s="313">
        <f t="shared" si="21"/>
        <v>58</v>
      </c>
      <c r="AR125">
        <f t="shared" si="24"/>
        <v>1326.16</v>
      </c>
      <c r="AS125">
        <f t="shared" si="20"/>
        <v>0</v>
      </c>
      <c r="AT125"/>
      <c r="AU125"/>
      <c r="AV125"/>
      <c r="AW125"/>
      <c r="AX125"/>
      <c r="AY125"/>
      <c r="AZ125"/>
      <c r="BA125"/>
      <c r="BB125"/>
      <c r="BC125"/>
      <c r="BD125"/>
      <c r="BE125"/>
    </row>
    <row r="126" spans="2:57" ht="27" customHeight="1" x14ac:dyDescent="0.25">
      <c r="B126" s="332">
        <f t="shared" si="25"/>
        <v>15</v>
      </c>
      <c r="C126" s="381" t="s">
        <v>43</v>
      </c>
      <c r="D126" s="381" t="s">
        <v>78</v>
      </c>
      <c r="E126" s="374">
        <v>48.2</v>
      </c>
      <c r="F126" s="351">
        <v>0.38500000000000001</v>
      </c>
      <c r="G126" s="286">
        <v>45.8</v>
      </c>
      <c r="H126" s="333">
        <v>8.4000000000000005E-2</v>
      </c>
      <c r="I126" s="725">
        <v>47</v>
      </c>
      <c r="J126" s="781">
        <v>0.39700000000000002</v>
      </c>
      <c r="K126" s="348"/>
      <c r="L126" s="530"/>
      <c r="AB126"/>
      <c r="AC126"/>
      <c r="AD126"/>
      <c r="AE126"/>
      <c r="AF126"/>
      <c r="AG126"/>
      <c r="AH126"/>
      <c r="AI126"/>
      <c r="AJ126"/>
      <c r="AK126"/>
      <c r="AL126"/>
      <c r="AM126"/>
      <c r="AN126"/>
      <c r="AO126"/>
      <c r="AP126" s="301"/>
      <c r="AQ126" s="313">
        <f t="shared" si="21"/>
        <v>59</v>
      </c>
      <c r="AR126">
        <f t="shared" si="24"/>
        <v>1327.38</v>
      </c>
      <c r="AS126">
        <f t="shared" si="20"/>
        <v>0</v>
      </c>
      <c r="AT126"/>
      <c r="AU126"/>
      <c r="AV126"/>
      <c r="AW126"/>
      <c r="AX126"/>
      <c r="AY126"/>
      <c r="AZ126"/>
      <c r="BA126"/>
      <c r="BB126"/>
      <c r="BC126"/>
      <c r="BD126"/>
      <c r="BE126"/>
    </row>
    <row r="127" spans="2:57" ht="27" customHeight="1" x14ac:dyDescent="0.2">
      <c r="B127" s="332">
        <f t="shared" si="25"/>
        <v>16</v>
      </c>
      <c r="C127" s="381" t="s">
        <v>81</v>
      </c>
      <c r="D127" s="381" t="s">
        <v>44</v>
      </c>
      <c r="E127" s="374">
        <v>136</v>
      </c>
      <c r="F127" s="351">
        <v>440</v>
      </c>
      <c r="G127" s="286">
        <v>132.91999999999999</v>
      </c>
      <c r="H127" s="286">
        <v>211.166</v>
      </c>
      <c r="I127" s="286">
        <v>132.52000000000001</v>
      </c>
      <c r="J127" s="781">
        <v>201.42</v>
      </c>
      <c r="K127" s="348"/>
      <c r="L127" s="533"/>
      <c r="M127" s="194"/>
      <c r="AB127"/>
      <c r="AC127"/>
      <c r="AD127"/>
      <c r="AE127"/>
      <c r="AF127"/>
      <c r="AG127"/>
      <c r="AH127"/>
      <c r="AI127"/>
      <c r="AJ127"/>
      <c r="AK127"/>
      <c r="AL127"/>
      <c r="AM127"/>
      <c r="AN127"/>
      <c r="AO127"/>
      <c r="AP127" s="301"/>
      <c r="AQ127" s="313">
        <f>AQ126+2</f>
        <v>61</v>
      </c>
      <c r="AR127">
        <f t="shared" ref="AR127:AR152" si="26">IF(AE7="tad","tad",AE7)</f>
        <v>0</v>
      </c>
      <c r="AS127">
        <f>IF(COUNT(AQ127:AR127)=2,0,-AP$49/500)</f>
        <v>0</v>
      </c>
      <c r="AT127"/>
      <c r="AU127"/>
      <c r="AV127"/>
      <c r="AW127"/>
      <c r="AX127"/>
      <c r="AY127"/>
      <c r="AZ127"/>
      <c r="BA127"/>
      <c r="BB127"/>
      <c r="BC127"/>
      <c r="BD127"/>
      <c r="BE127"/>
    </row>
    <row r="128" spans="2:57" ht="27" customHeight="1" x14ac:dyDescent="0.2">
      <c r="B128" s="332">
        <f t="shared" si="25"/>
        <v>17</v>
      </c>
      <c r="C128" s="381" t="s">
        <v>45</v>
      </c>
      <c r="D128" s="381" t="s">
        <v>44</v>
      </c>
      <c r="E128" s="374">
        <v>113.5</v>
      </c>
      <c r="F128" s="351">
        <v>3.7519999999999998</v>
      </c>
      <c r="G128" s="286">
        <v>113</v>
      </c>
      <c r="H128" s="286">
        <v>2.1120000000000001</v>
      </c>
      <c r="I128" s="287">
        <v>112.21</v>
      </c>
      <c r="J128" s="781">
        <v>1.7748999999999999</v>
      </c>
      <c r="K128" s="348"/>
      <c r="L128" s="533"/>
      <c r="M128" s="194"/>
      <c r="AB128"/>
      <c r="AC128"/>
      <c r="AD128"/>
      <c r="AE128"/>
      <c r="AF128"/>
      <c r="AG128"/>
      <c r="AH128"/>
      <c r="AI128"/>
      <c r="AJ128"/>
      <c r="AK128"/>
      <c r="AL128"/>
      <c r="AM128"/>
      <c r="AN128"/>
      <c r="AO128"/>
      <c r="AP128" s="301"/>
      <c r="AQ128" s="313">
        <f>AQ127+1</f>
        <v>62</v>
      </c>
      <c r="AR128">
        <f t="shared" si="26"/>
        <v>0</v>
      </c>
      <c r="AS128">
        <f t="shared" si="20"/>
        <v>0</v>
      </c>
      <c r="AT128"/>
      <c r="AU128"/>
      <c r="AV128"/>
      <c r="AW128"/>
      <c r="AX128"/>
      <c r="AY128"/>
      <c r="AZ128"/>
      <c r="BA128"/>
      <c r="BB128"/>
      <c r="BC128"/>
      <c r="BD128"/>
      <c r="BE128"/>
    </row>
    <row r="129" spans="2:57" ht="27" customHeight="1" x14ac:dyDescent="0.2">
      <c r="B129" s="332">
        <f t="shared" si="25"/>
        <v>18</v>
      </c>
      <c r="C129" s="381" t="s">
        <v>46</v>
      </c>
      <c r="D129" s="381" t="s">
        <v>44</v>
      </c>
      <c r="E129" s="374">
        <v>225.4</v>
      </c>
      <c r="F129" s="374">
        <v>1.2</v>
      </c>
      <c r="G129" s="286">
        <v>203.5</v>
      </c>
      <c r="H129" s="286">
        <v>0.27300000000000002</v>
      </c>
      <c r="I129" s="286">
        <v>201.8</v>
      </c>
      <c r="J129" s="781">
        <v>0.1249</v>
      </c>
      <c r="K129" s="348"/>
      <c r="L129" s="533"/>
      <c r="M129" s="194"/>
      <c r="AB129"/>
      <c r="AC129"/>
      <c r="AD129"/>
      <c r="AE129"/>
      <c r="AF129"/>
      <c r="AG129"/>
      <c r="AH129"/>
      <c r="AI129"/>
      <c r="AJ129"/>
      <c r="AK129"/>
      <c r="AL129"/>
      <c r="AM129"/>
      <c r="AN129"/>
      <c r="AO129"/>
      <c r="AP129" s="301"/>
      <c r="AQ129" s="313">
        <f>AQ128+1</f>
        <v>63</v>
      </c>
      <c r="AR129">
        <f t="shared" si="26"/>
        <v>0</v>
      </c>
      <c r="AS129">
        <f t="shared" si="20"/>
        <v>0</v>
      </c>
      <c r="AT129"/>
      <c r="AU129"/>
      <c r="AV129"/>
      <c r="AW129"/>
      <c r="AX129"/>
      <c r="AY129"/>
      <c r="AZ129"/>
      <c r="BA129"/>
      <c r="BB129"/>
      <c r="BC129"/>
      <c r="BD129"/>
      <c r="BE129"/>
    </row>
    <row r="130" spans="2:57" ht="27" customHeight="1" x14ac:dyDescent="0.2">
      <c r="B130" s="332">
        <f t="shared" si="25"/>
        <v>19</v>
      </c>
      <c r="C130" s="381" t="s">
        <v>47</v>
      </c>
      <c r="D130" s="381" t="s">
        <v>44</v>
      </c>
      <c r="E130" s="374">
        <v>224</v>
      </c>
      <c r="F130" s="351">
        <v>0.6</v>
      </c>
      <c r="G130" s="286">
        <v>223.53</v>
      </c>
      <c r="H130" s="286">
        <v>0.38400000000000001</v>
      </c>
      <c r="I130" s="287">
        <v>221.36</v>
      </c>
      <c r="J130" s="782">
        <v>0.22939999999999999</v>
      </c>
      <c r="K130" s="348"/>
      <c r="L130" s="534"/>
      <c r="M130" s="194"/>
      <c r="AB130"/>
      <c r="AC130"/>
      <c r="AD130"/>
      <c r="AE130"/>
      <c r="AF130"/>
      <c r="AG130"/>
      <c r="AH130"/>
      <c r="AI130"/>
      <c r="AJ130"/>
      <c r="AK130"/>
      <c r="AL130"/>
      <c r="AM130"/>
      <c r="AN130"/>
      <c r="AO130"/>
      <c r="AP130" s="301"/>
      <c r="AQ130" s="313">
        <f>AQ129+1</f>
        <v>64</v>
      </c>
      <c r="AR130">
        <f t="shared" si="26"/>
        <v>0</v>
      </c>
      <c r="AS130">
        <f t="shared" si="20"/>
        <v>0</v>
      </c>
      <c r="AT130"/>
      <c r="AU130"/>
      <c r="AV130"/>
      <c r="AW130"/>
      <c r="AX130"/>
      <c r="AY130"/>
      <c r="AZ130"/>
      <c r="BA130"/>
      <c r="BB130"/>
      <c r="BC130"/>
      <c r="BD130"/>
      <c r="BE130"/>
    </row>
    <row r="131" spans="2:57" ht="27" customHeight="1" x14ac:dyDescent="0.2">
      <c r="B131" s="332">
        <f t="shared" si="25"/>
        <v>20</v>
      </c>
      <c r="C131" s="381" t="s">
        <v>48</v>
      </c>
      <c r="D131" s="381" t="s">
        <v>44</v>
      </c>
      <c r="E131" s="374">
        <v>196</v>
      </c>
      <c r="F131" s="351">
        <v>1.5820000000000001</v>
      </c>
      <c r="G131" s="286">
        <v>195.5</v>
      </c>
      <c r="H131" s="286">
        <v>0.67500000000000004</v>
      </c>
      <c r="I131" s="287">
        <v>196</v>
      </c>
      <c r="J131" s="781">
        <v>0.77139999999999997</v>
      </c>
      <c r="K131" s="348"/>
      <c r="L131" s="533"/>
      <c r="M131" s="194"/>
      <c r="AB131"/>
      <c r="AC131"/>
      <c r="AD131"/>
      <c r="AE131"/>
      <c r="AF131"/>
      <c r="AG131"/>
      <c r="AH131"/>
      <c r="AI131"/>
      <c r="AJ131"/>
      <c r="AK131"/>
      <c r="AL131"/>
      <c r="AM131"/>
      <c r="AN131"/>
      <c r="AO131"/>
      <c r="AP131" s="301"/>
      <c r="AQ131" s="313">
        <f>AQ130+1</f>
        <v>65</v>
      </c>
      <c r="AR131">
        <f t="shared" si="26"/>
        <v>0</v>
      </c>
      <c r="AS131">
        <f t="shared" si="20"/>
        <v>0</v>
      </c>
      <c r="AT131"/>
      <c r="AU131"/>
      <c r="AV131"/>
      <c r="AW131"/>
      <c r="AX131"/>
      <c r="AY131"/>
      <c r="AZ131"/>
      <c r="BA131"/>
      <c r="BB131"/>
      <c r="BC131"/>
      <c r="BD131"/>
      <c r="BE131"/>
    </row>
    <row r="132" spans="2:57" ht="27" customHeight="1" x14ac:dyDescent="0.2">
      <c r="B132" s="332">
        <f t="shared" si="25"/>
        <v>21</v>
      </c>
      <c r="C132" s="381" t="s">
        <v>49</v>
      </c>
      <c r="D132" s="381" t="s">
        <v>44</v>
      </c>
      <c r="E132" s="374">
        <v>174</v>
      </c>
      <c r="F132" s="351">
        <v>0.47899999999999998</v>
      </c>
      <c r="G132" s="286">
        <v>170.57</v>
      </c>
      <c r="H132" s="286">
        <v>0.16300000000000001</v>
      </c>
      <c r="I132" s="287">
        <v>168.49</v>
      </c>
      <c r="J132" s="781">
        <v>5.8000000000000003E-2</v>
      </c>
      <c r="K132" s="348"/>
      <c r="L132" s="533"/>
      <c r="M132" s="194"/>
      <c r="AB132"/>
      <c r="AC132"/>
      <c r="AD132"/>
      <c r="AE132"/>
      <c r="AF132"/>
      <c r="AG132"/>
      <c r="AH132"/>
      <c r="AI132"/>
      <c r="AJ132"/>
      <c r="AK132"/>
      <c r="AL132"/>
      <c r="AM132"/>
      <c r="AN132"/>
      <c r="AO132"/>
      <c r="AP132" s="301"/>
      <c r="AQ132" s="313">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x14ac:dyDescent="0.2">
      <c r="B133" s="330">
        <f t="shared" si="25"/>
        <v>22</v>
      </c>
      <c r="C133" s="331" t="s">
        <v>50</v>
      </c>
      <c r="D133" s="331" t="s">
        <v>44</v>
      </c>
      <c r="E133" s="352">
        <v>229.1</v>
      </c>
      <c r="F133" s="377">
        <v>0.79200000000000004</v>
      </c>
      <c r="G133" s="285">
        <v>226.6</v>
      </c>
      <c r="H133" s="285">
        <v>0.49199999999999999</v>
      </c>
      <c r="I133" s="412">
        <v>226</v>
      </c>
      <c r="J133" s="783">
        <v>0.44059999999999999</v>
      </c>
      <c r="K133" s="348"/>
      <c r="L133" s="534"/>
      <c r="M133" s="194"/>
      <c r="AB133"/>
      <c r="AC133"/>
      <c r="AD133"/>
      <c r="AE133"/>
      <c r="AF133"/>
      <c r="AG133"/>
      <c r="AH133"/>
      <c r="AI133"/>
      <c r="AJ133"/>
      <c r="AK133"/>
      <c r="AL133"/>
      <c r="AM133"/>
      <c r="AN133"/>
      <c r="AO133"/>
      <c r="AP133" s="301"/>
      <c r="AQ133" s="313">
        <f t="shared" si="27"/>
        <v>67</v>
      </c>
      <c r="AR133">
        <f t="shared" si="26"/>
        <v>0</v>
      </c>
      <c r="AS133">
        <f t="shared" si="28"/>
        <v>0</v>
      </c>
      <c r="AT133"/>
      <c r="AU133"/>
      <c r="AV133"/>
      <c r="AW133"/>
      <c r="AX133"/>
      <c r="AY133"/>
      <c r="AZ133"/>
      <c r="BA133"/>
      <c r="BB133"/>
      <c r="BC133"/>
      <c r="BD133"/>
      <c r="BE133"/>
    </row>
    <row r="134" spans="2:57" ht="27" customHeight="1" x14ac:dyDescent="0.2">
      <c r="B134" s="332">
        <f t="shared" si="25"/>
        <v>23</v>
      </c>
      <c r="C134" s="381" t="s">
        <v>51</v>
      </c>
      <c r="D134" s="381" t="s">
        <v>44</v>
      </c>
      <c r="E134" s="374">
        <v>249</v>
      </c>
      <c r="F134" s="351">
        <v>2.1240000000000001</v>
      </c>
      <c r="G134" s="286">
        <v>248.7</v>
      </c>
      <c r="H134" s="286">
        <v>1.708</v>
      </c>
      <c r="I134" s="287">
        <v>247.45</v>
      </c>
      <c r="J134" s="782">
        <v>1.3642000000000001</v>
      </c>
      <c r="K134" s="348"/>
      <c r="L134" s="534"/>
      <c r="M134" s="194"/>
      <c r="AB134"/>
      <c r="AC134"/>
      <c r="AD134"/>
      <c r="AE134"/>
      <c r="AF134"/>
      <c r="AG134"/>
      <c r="AH134"/>
      <c r="AI134"/>
      <c r="AJ134"/>
      <c r="AK134"/>
      <c r="AL134"/>
      <c r="AM134"/>
      <c r="AN134"/>
      <c r="AO134"/>
      <c r="AP134" s="301"/>
      <c r="AQ134" s="313">
        <f t="shared" si="27"/>
        <v>68</v>
      </c>
      <c r="AR134">
        <f t="shared" si="26"/>
        <v>0</v>
      </c>
      <c r="AS134">
        <f t="shared" si="28"/>
        <v>0</v>
      </c>
      <c r="AT134"/>
      <c r="AU134"/>
      <c r="AV134"/>
      <c r="AW134"/>
      <c r="AX134"/>
      <c r="AY134"/>
      <c r="AZ134"/>
      <c r="BA134"/>
      <c r="BB134"/>
      <c r="BC134"/>
      <c r="BD134"/>
      <c r="BE134"/>
    </row>
    <row r="135" spans="2:57" ht="27" customHeight="1" x14ac:dyDescent="0.2">
      <c r="B135" s="332">
        <f t="shared" si="25"/>
        <v>24</v>
      </c>
      <c r="C135" s="381" t="s">
        <v>52</v>
      </c>
      <c r="D135" s="381" t="s">
        <v>82</v>
      </c>
      <c r="E135" s="374">
        <v>164.75</v>
      </c>
      <c r="F135" s="374">
        <v>5</v>
      </c>
      <c r="G135" s="286">
        <v>140</v>
      </c>
      <c r="H135" s="286">
        <v>0</v>
      </c>
      <c r="I135" s="286">
        <v>140</v>
      </c>
      <c r="J135" s="782">
        <v>0</v>
      </c>
      <c r="K135" s="348"/>
      <c r="L135" s="534"/>
      <c r="M135" s="194"/>
      <c r="AB135"/>
      <c r="AC135"/>
      <c r="AD135"/>
      <c r="AE135"/>
      <c r="AF135"/>
      <c r="AG135"/>
      <c r="AH135"/>
      <c r="AI135"/>
      <c r="AJ135"/>
      <c r="AK135"/>
      <c r="AL135"/>
      <c r="AM135"/>
      <c r="AN135"/>
      <c r="AO135"/>
      <c r="AP135" s="301"/>
      <c r="AQ135" s="313">
        <f t="shared" si="27"/>
        <v>69</v>
      </c>
      <c r="AR135">
        <f t="shared" si="26"/>
        <v>0</v>
      </c>
      <c r="AS135">
        <f t="shared" si="28"/>
        <v>0</v>
      </c>
      <c r="AT135"/>
      <c r="AU135"/>
      <c r="AV135"/>
      <c r="AW135"/>
      <c r="AX135"/>
      <c r="AY135"/>
      <c r="AZ135"/>
      <c r="BA135"/>
      <c r="BB135"/>
      <c r="BC135"/>
      <c r="BD135"/>
      <c r="BE135"/>
    </row>
    <row r="136" spans="2:57" ht="27" customHeight="1" x14ac:dyDescent="0.2">
      <c r="B136" s="332">
        <f t="shared" si="25"/>
        <v>25</v>
      </c>
      <c r="C136" s="381" t="s">
        <v>53</v>
      </c>
      <c r="D136" s="381" t="s">
        <v>82</v>
      </c>
      <c r="E136" s="374">
        <v>179.1</v>
      </c>
      <c r="F136" s="351">
        <v>4.2</v>
      </c>
      <c r="G136" s="287">
        <v>204.56</v>
      </c>
      <c r="H136" s="287">
        <v>3.052</v>
      </c>
      <c r="I136" s="286">
        <v>204.3</v>
      </c>
      <c r="J136" s="781">
        <v>2.8957999999999999</v>
      </c>
      <c r="K136" s="348"/>
      <c r="L136" s="533"/>
      <c r="M136" s="194"/>
      <c r="AB136"/>
      <c r="AC136"/>
      <c r="AD136"/>
      <c r="AE136"/>
      <c r="AF136"/>
      <c r="AG136"/>
      <c r="AH136"/>
      <c r="AI136"/>
      <c r="AJ136"/>
      <c r="AK136"/>
      <c r="AL136"/>
      <c r="AM136"/>
      <c r="AN136"/>
      <c r="AO136"/>
      <c r="AP136" s="301"/>
      <c r="AQ136" s="313">
        <f t="shared" si="27"/>
        <v>70</v>
      </c>
      <c r="AR136">
        <f t="shared" si="26"/>
        <v>0</v>
      </c>
      <c r="AS136">
        <f t="shared" si="28"/>
        <v>0</v>
      </c>
      <c r="AT136"/>
      <c r="AU136"/>
      <c r="AV136"/>
      <c r="AW136"/>
      <c r="AX136"/>
      <c r="AY136"/>
      <c r="AZ136"/>
      <c r="BA136"/>
      <c r="BB136"/>
      <c r="BC136"/>
      <c r="BD136"/>
      <c r="BE136"/>
    </row>
    <row r="137" spans="2:57" ht="27" customHeight="1" x14ac:dyDescent="0.2">
      <c r="B137" s="332">
        <f t="shared" si="25"/>
        <v>26</v>
      </c>
      <c r="C137" s="381" t="s">
        <v>54</v>
      </c>
      <c r="D137" s="381" t="s">
        <v>83</v>
      </c>
      <c r="E137" s="374">
        <v>325.56</v>
      </c>
      <c r="F137" s="351">
        <v>0.70099999999999996</v>
      </c>
      <c r="G137" s="287">
        <v>325.5</v>
      </c>
      <c r="H137" s="287">
        <v>0.69599999999999995</v>
      </c>
      <c r="I137" s="287">
        <v>325.2</v>
      </c>
      <c r="J137" s="782">
        <v>0.66800000000000004</v>
      </c>
      <c r="K137" s="348"/>
      <c r="L137" s="534"/>
      <c r="M137" s="194"/>
      <c r="AB137"/>
      <c r="AC137"/>
      <c r="AD137"/>
      <c r="AE137"/>
      <c r="AF137"/>
      <c r="AG137"/>
      <c r="AH137"/>
      <c r="AI137"/>
      <c r="AJ137"/>
      <c r="AK137"/>
      <c r="AL137"/>
      <c r="AM137"/>
      <c r="AN137"/>
      <c r="AO137"/>
      <c r="AP137" s="301"/>
      <c r="AQ137" s="313">
        <f t="shared" si="27"/>
        <v>71</v>
      </c>
      <c r="AR137">
        <f t="shared" si="26"/>
        <v>0</v>
      </c>
      <c r="AS137">
        <f t="shared" si="28"/>
        <v>0</v>
      </c>
      <c r="AT137"/>
      <c r="AU137"/>
      <c r="AV137"/>
      <c r="AW137"/>
      <c r="AX137"/>
      <c r="AY137"/>
      <c r="AZ137"/>
      <c r="BA137"/>
      <c r="BB137"/>
      <c r="BC137"/>
      <c r="BD137"/>
      <c r="BE137"/>
    </row>
    <row r="138" spans="2:57" ht="27" customHeight="1" x14ac:dyDescent="0.2">
      <c r="B138" s="332">
        <f t="shared" si="25"/>
        <v>27</v>
      </c>
      <c r="C138" s="381" t="s">
        <v>55</v>
      </c>
      <c r="D138" s="381" t="s">
        <v>83</v>
      </c>
      <c r="E138" s="374">
        <v>129.19999999999999</v>
      </c>
      <c r="F138" s="351">
        <v>0.5</v>
      </c>
      <c r="G138" s="286">
        <v>129.19999999999999</v>
      </c>
      <c r="H138" s="286">
        <v>0.71</v>
      </c>
      <c r="I138" s="287">
        <v>128.81</v>
      </c>
      <c r="J138" s="781">
        <v>0.65710000000000002</v>
      </c>
      <c r="K138" s="348"/>
      <c r="L138" s="533"/>
      <c r="M138" s="194"/>
      <c r="AB138"/>
      <c r="AC138"/>
      <c r="AD138"/>
      <c r="AE138"/>
      <c r="AF138"/>
      <c r="AG138"/>
      <c r="AH138"/>
      <c r="AI138"/>
      <c r="AJ138"/>
      <c r="AK138"/>
      <c r="AL138"/>
      <c r="AM138"/>
      <c r="AN138"/>
      <c r="AO138"/>
      <c r="AP138" s="301"/>
      <c r="AQ138" s="313">
        <f t="shared" si="27"/>
        <v>72</v>
      </c>
      <c r="AR138">
        <f t="shared" si="26"/>
        <v>0</v>
      </c>
      <c r="AS138">
        <f t="shared" si="28"/>
        <v>0</v>
      </c>
      <c r="AT138"/>
      <c r="AU138"/>
      <c r="AV138"/>
      <c r="AW138"/>
      <c r="AX138"/>
      <c r="AY138"/>
      <c r="AZ138"/>
      <c r="BA138"/>
      <c r="BB138"/>
      <c r="BC138"/>
      <c r="BD138"/>
      <c r="BE138"/>
    </row>
    <row r="139" spans="2:57" ht="27" customHeight="1" x14ac:dyDescent="0.2">
      <c r="B139" s="332">
        <f t="shared" si="25"/>
        <v>28</v>
      </c>
      <c r="C139" s="381" t="s">
        <v>56</v>
      </c>
      <c r="D139" s="381" t="s">
        <v>83</v>
      </c>
      <c r="E139" s="374">
        <v>282.77999999999997</v>
      </c>
      <c r="F139" s="351">
        <v>0.51300000000000001</v>
      </c>
      <c r="G139" s="286">
        <v>282.95999999999998</v>
      </c>
      <c r="H139" s="286">
        <v>0.48</v>
      </c>
      <c r="I139" s="286">
        <v>283.08999999999997</v>
      </c>
      <c r="J139" s="781">
        <v>0.49</v>
      </c>
      <c r="K139" s="348"/>
      <c r="L139" s="533"/>
      <c r="M139" s="194"/>
      <c r="AB139"/>
      <c r="AC139"/>
      <c r="AD139"/>
      <c r="AE139"/>
      <c r="AF139"/>
      <c r="AG139"/>
      <c r="AH139"/>
      <c r="AI139"/>
      <c r="AJ139"/>
      <c r="AK139"/>
      <c r="AL139"/>
      <c r="AM139"/>
      <c r="AN139"/>
      <c r="AO139"/>
      <c r="AP139" s="301"/>
      <c r="AQ139" s="313">
        <f t="shared" si="27"/>
        <v>73</v>
      </c>
      <c r="AR139">
        <f t="shared" si="26"/>
        <v>0</v>
      </c>
      <c r="AS139">
        <f t="shared" si="28"/>
        <v>0</v>
      </c>
      <c r="AT139"/>
      <c r="AU139"/>
      <c r="AV139"/>
      <c r="AW139"/>
      <c r="AX139"/>
      <c r="AY139"/>
      <c r="AZ139"/>
      <c r="BA139"/>
      <c r="BB139"/>
      <c r="BC139"/>
      <c r="BD139"/>
      <c r="BE139"/>
    </row>
    <row r="140" spans="2:57" ht="27" customHeight="1" x14ac:dyDescent="0.2">
      <c r="B140" s="332">
        <f t="shared" si="25"/>
        <v>29</v>
      </c>
      <c r="C140" s="381" t="s">
        <v>57</v>
      </c>
      <c r="D140" s="381" t="s">
        <v>83</v>
      </c>
      <c r="E140" s="374">
        <v>99</v>
      </c>
      <c r="F140" s="351">
        <v>2.6110000000000002</v>
      </c>
      <c r="G140" s="286">
        <v>98.85</v>
      </c>
      <c r="H140" s="286">
        <v>2.7770000000000001</v>
      </c>
      <c r="I140" s="287">
        <v>98.94</v>
      </c>
      <c r="J140" s="782">
        <v>2.8418000000000001</v>
      </c>
      <c r="K140" s="348"/>
      <c r="L140" s="534"/>
      <c r="M140" s="194"/>
      <c r="AB140"/>
      <c r="AC140"/>
      <c r="AD140"/>
      <c r="AE140"/>
      <c r="AF140"/>
      <c r="AG140"/>
      <c r="AH140"/>
      <c r="AI140"/>
      <c r="AJ140"/>
      <c r="AK140"/>
      <c r="AL140"/>
      <c r="AM140"/>
      <c r="AN140"/>
      <c r="AO140"/>
      <c r="AP140" s="301"/>
      <c r="AQ140" s="313">
        <f t="shared" si="27"/>
        <v>74</v>
      </c>
      <c r="AR140">
        <f t="shared" si="26"/>
        <v>0</v>
      </c>
      <c r="AS140">
        <f t="shared" si="28"/>
        <v>0</v>
      </c>
      <c r="AT140"/>
      <c r="AU140"/>
      <c r="AV140"/>
      <c r="AW140"/>
      <c r="AX140"/>
      <c r="AY140"/>
      <c r="AZ140"/>
      <c r="BA140"/>
      <c r="BB140"/>
      <c r="BC140"/>
      <c r="BD140"/>
      <c r="BE140"/>
    </row>
    <row r="141" spans="2:57" ht="27" customHeight="1" x14ac:dyDescent="0.2">
      <c r="B141" s="332">
        <f t="shared" si="25"/>
        <v>30</v>
      </c>
      <c r="C141" s="381" t="s">
        <v>58</v>
      </c>
      <c r="D141" s="381" t="s">
        <v>83</v>
      </c>
      <c r="E141" s="374">
        <v>189.7</v>
      </c>
      <c r="F141" s="374">
        <v>7.9000000000000001E-2</v>
      </c>
      <c r="G141" s="286">
        <v>189.7</v>
      </c>
      <c r="H141" s="286">
        <v>0.08</v>
      </c>
      <c r="I141" s="616">
        <v>189.38</v>
      </c>
      <c r="J141" s="788">
        <v>7.2999999999999995E-2</v>
      </c>
      <c r="K141" s="348"/>
      <c r="L141" s="534"/>
      <c r="M141" s="194"/>
      <c r="AB141"/>
      <c r="AC141"/>
      <c r="AD141"/>
      <c r="AE141"/>
      <c r="AF141"/>
      <c r="AG141"/>
      <c r="AH141"/>
      <c r="AI141"/>
      <c r="AJ141"/>
      <c r="AK141"/>
      <c r="AL141"/>
      <c r="AM141"/>
      <c r="AN141"/>
      <c r="AO141"/>
      <c r="AP141" s="301"/>
      <c r="AQ141" s="313">
        <f t="shared" si="27"/>
        <v>75</v>
      </c>
      <c r="AR141">
        <f t="shared" si="26"/>
        <v>0</v>
      </c>
      <c r="AS141">
        <f t="shared" si="28"/>
        <v>0</v>
      </c>
      <c r="AT141"/>
      <c r="AU141"/>
      <c r="AV141"/>
      <c r="AW141"/>
      <c r="AX141"/>
      <c r="AY141"/>
      <c r="AZ141"/>
      <c r="BA141"/>
      <c r="BB141"/>
      <c r="BC141"/>
      <c r="BD141"/>
      <c r="BE141"/>
    </row>
    <row r="142" spans="2:57" ht="27" customHeight="1" x14ac:dyDescent="0.2">
      <c r="B142" s="332">
        <f t="shared" si="25"/>
        <v>31</v>
      </c>
      <c r="C142" s="381" t="s">
        <v>59</v>
      </c>
      <c r="D142" s="381" t="s">
        <v>83</v>
      </c>
      <c r="E142" s="374">
        <v>171.19</v>
      </c>
      <c r="F142" s="351">
        <v>9.6879999999999994E-2</v>
      </c>
      <c r="G142" s="286">
        <v>171.2</v>
      </c>
      <c r="H142" s="333">
        <v>9.7000000000000003E-2</v>
      </c>
      <c r="I142" s="287">
        <v>171.25</v>
      </c>
      <c r="J142" s="782">
        <v>9.8299999999999998E-2</v>
      </c>
      <c r="K142" s="348"/>
      <c r="L142" s="534"/>
      <c r="M142" s="194"/>
      <c r="AB142"/>
      <c r="AC142"/>
      <c r="AD142"/>
      <c r="AE142"/>
      <c r="AF142"/>
      <c r="AG142"/>
      <c r="AH142"/>
      <c r="AI142"/>
      <c r="AJ142"/>
      <c r="AK142"/>
      <c r="AL142"/>
      <c r="AM142"/>
      <c r="AN142"/>
      <c r="AO142"/>
      <c r="AP142" s="301"/>
      <c r="AQ142" s="313">
        <f t="shared" si="27"/>
        <v>76</v>
      </c>
      <c r="AR142">
        <f t="shared" si="26"/>
        <v>0</v>
      </c>
      <c r="AS142">
        <f t="shared" si="28"/>
        <v>0</v>
      </c>
      <c r="AT142"/>
      <c r="AU142"/>
      <c r="AV142"/>
      <c r="AW142"/>
      <c r="AX142"/>
      <c r="AY142"/>
      <c r="AZ142"/>
      <c r="BA142"/>
      <c r="BB142"/>
      <c r="BC142"/>
      <c r="BD142"/>
      <c r="BE142"/>
    </row>
    <row r="143" spans="2:57" ht="27" customHeight="1" x14ac:dyDescent="0.2">
      <c r="B143" s="332">
        <f t="shared" si="25"/>
        <v>32</v>
      </c>
      <c r="C143" s="381" t="s">
        <v>60</v>
      </c>
      <c r="D143" s="381" t="s">
        <v>84</v>
      </c>
      <c r="E143" s="374">
        <v>142.6</v>
      </c>
      <c r="F143" s="351">
        <v>9.157</v>
      </c>
      <c r="G143" s="286">
        <v>140.30000000000001</v>
      </c>
      <c r="H143" s="286">
        <v>9.1560000000000006</v>
      </c>
      <c r="I143" s="286">
        <v>139.54</v>
      </c>
      <c r="J143" s="784">
        <v>7.0235000000000003</v>
      </c>
      <c r="K143" s="348"/>
      <c r="L143" s="433"/>
      <c r="M143" s="194"/>
      <c r="AB143"/>
      <c r="AC143"/>
      <c r="AD143"/>
      <c r="AE143"/>
      <c r="AF143"/>
      <c r="AG143"/>
      <c r="AH143"/>
      <c r="AI143"/>
      <c r="AJ143"/>
      <c r="AK143"/>
      <c r="AL143"/>
      <c r="AM143"/>
      <c r="AN143"/>
      <c r="AO143"/>
      <c r="AP143" s="301"/>
      <c r="AQ143" s="313">
        <f t="shared" si="27"/>
        <v>77</v>
      </c>
      <c r="AR143">
        <f t="shared" si="26"/>
        <v>0</v>
      </c>
      <c r="AS143">
        <f t="shared" si="28"/>
        <v>0</v>
      </c>
      <c r="AT143"/>
      <c r="AU143"/>
      <c r="AV143"/>
      <c r="AW143"/>
      <c r="AX143"/>
      <c r="AY143"/>
      <c r="AZ143"/>
      <c r="BA143"/>
      <c r="BB143"/>
      <c r="BC143"/>
      <c r="BD143"/>
      <c r="BE143"/>
    </row>
    <row r="144" spans="2:57" ht="27" customHeight="1" x14ac:dyDescent="0.2">
      <c r="B144" s="332">
        <f t="shared" si="25"/>
        <v>33</v>
      </c>
      <c r="C144" s="381" t="s">
        <v>61</v>
      </c>
      <c r="D144" s="381" t="s">
        <v>84</v>
      </c>
      <c r="E144" s="374">
        <v>239.5</v>
      </c>
      <c r="F144" s="351">
        <v>2.6720000000000002</v>
      </c>
      <c r="G144" s="286">
        <v>239.7</v>
      </c>
      <c r="H144" s="333">
        <v>2.8559999999999999</v>
      </c>
      <c r="I144" s="286">
        <v>239.1</v>
      </c>
      <c r="J144" s="784">
        <v>2.468</v>
      </c>
      <c r="K144" s="348"/>
      <c r="L144" s="433"/>
      <c r="M144" s="194"/>
      <c r="AB144"/>
      <c r="AC144"/>
      <c r="AD144"/>
      <c r="AE144"/>
      <c r="AF144"/>
      <c r="AG144"/>
      <c r="AH144"/>
      <c r="AI144"/>
      <c r="AJ144"/>
      <c r="AK144"/>
      <c r="AL144"/>
      <c r="AM144"/>
      <c r="AN144"/>
      <c r="AO144"/>
      <c r="AP144" s="301"/>
      <c r="AQ144" s="313">
        <f t="shared" si="27"/>
        <v>78</v>
      </c>
      <c r="AR144">
        <f t="shared" si="26"/>
        <v>0</v>
      </c>
      <c r="AS144">
        <f t="shared" si="28"/>
        <v>0</v>
      </c>
      <c r="AT144"/>
      <c r="AU144"/>
      <c r="AV144"/>
      <c r="AW144"/>
      <c r="AX144"/>
      <c r="AY144"/>
      <c r="AZ144"/>
      <c r="BA144"/>
      <c r="BB144"/>
      <c r="BC144"/>
      <c r="BD144"/>
      <c r="BE144"/>
    </row>
    <row r="145" spans="2:57" ht="27" customHeight="1" x14ac:dyDescent="0.2">
      <c r="B145" s="332">
        <f t="shared" si="25"/>
        <v>34</v>
      </c>
      <c r="C145" s="381" t="s">
        <v>62</v>
      </c>
      <c r="D145" s="381" t="s">
        <v>85</v>
      </c>
      <c r="E145" s="374">
        <v>120.5</v>
      </c>
      <c r="F145" s="351">
        <v>3.677</v>
      </c>
      <c r="G145" s="286">
        <v>120.75</v>
      </c>
      <c r="H145" s="286">
        <v>4.1539999999999999</v>
      </c>
      <c r="I145" s="286">
        <v>120.54</v>
      </c>
      <c r="J145" s="781">
        <v>3.7534999999999998</v>
      </c>
      <c r="K145" s="348"/>
      <c r="L145" s="533"/>
      <c r="M145" s="194"/>
      <c r="AB145"/>
      <c r="AC145"/>
      <c r="AD145"/>
      <c r="AE145">
        <v>1</v>
      </c>
      <c r="AF145"/>
      <c r="AG145"/>
      <c r="AH145"/>
      <c r="AI145"/>
      <c r="AJ145"/>
      <c r="AK145"/>
      <c r="AL145"/>
      <c r="AM145"/>
      <c r="AN145"/>
      <c r="AO145"/>
      <c r="AP145" s="301"/>
      <c r="AQ145" s="313">
        <f t="shared" si="27"/>
        <v>79</v>
      </c>
      <c r="AR145">
        <f t="shared" si="26"/>
        <v>0</v>
      </c>
      <c r="AS145">
        <f t="shared" si="28"/>
        <v>0</v>
      </c>
      <c r="AT145"/>
      <c r="AU145"/>
      <c r="AV145"/>
      <c r="AW145"/>
      <c r="AX145"/>
      <c r="AY145"/>
      <c r="AZ145"/>
      <c r="BA145"/>
      <c r="BB145"/>
      <c r="BC145"/>
      <c r="BD145"/>
      <c r="BE145"/>
    </row>
    <row r="146" spans="2:57" ht="27" customHeight="1" x14ac:dyDescent="0.2">
      <c r="B146" s="332">
        <f t="shared" si="25"/>
        <v>35</v>
      </c>
      <c r="C146" s="381" t="s">
        <v>63</v>
      </c>
      <c r="D146" s="381" t="s">
        <v>86</v>
      </c>
      <c r="E146" s="374">
        <v>110.56</v>
      </c>
      <c r="F146" s="351">
        <v>2.75</v>
      </c>
      <c r="G146" s="286">
        <v>110.36</v>
      </c>
      <c r="H146" s="286">
        <v>2.371</v>
      </c>
      <c r="I146" s="717">
        <v>110.54</v>
      </c>
      <c r="J146" s="789">
        <v>2.7121</v>
      </c>
      <c r="K146" s="348"/>
      <c r="L146" s="533"/>
      <c r="M146" s="194"/>
      <c r="AB146"/>
      <c r="AC146"/>
      <c r="AD146"/>
      <c r="AE146"/>
      <c r="AF146"/>
      <c r="AG146"/>
      <c r="AH146"/>
      <c r="AI146"/>
      <c r="AJ146"/>
      <c r="AK146"/>
      <c r="AL146"/>
      <c r="AM146"/>
      <c r="AN146"/>
      <c r="AO146"/>
      <c r="AP146" s="301"/>
      <c r="AQ146" s="313">
        <f t="shared" si="27"/>
        <v>80</v>
      </c>
      <c r="AR146">
        <f t="shared" si="26"/>
        <v>0</v>
      </c>
      <c r="AS146">
        <f t="shared" si="28"/>
        <v>0</v>
      </c>
      <c r="AT146"/>
      <c r="AU146"/>
      <c r="AV146"/>
      <c r="AW146"/>
      <c r="AX146"/>
      <c r="AY146"/>
      <c r="AZ146"/>
      <c r="BA146"/>
      <c r="BB146"/>
      <c r="BC146"/>
      <c r="BD146"/>
      <c r="BE146"/>
    </row>
    <row r="147" spans="2:57" ht="27" customHeight="1" x14ac:dyDescent="0.2">
      <c r="B147" s="332">
        <f t="shared" si="25"/>
        <v>36</v>
      </c>
      <c r="C147" s="381" t="s">
        <v>64</v>
      </c>
      <c r="D147" s="381" t="s">
        <v>87</v>
      </c>
      <c r="E147" s="374">
        <v>72</v>
      </c>
      <c r="F147" s="351">
        <v>38.036000000000001</v>
      </c>
      <c r="G147" s="286">
        <v>66.75</v>
      </c>
      <c r="H147" s="333">
        <v>24.373999999999999</v>
      </c>
      <c r="I147" s="286">
        <v>65.42</v>
      </c>
      <c r="J147" s="784">
        <v>21.898</v>
      </c>
      <c r="K147" s="348"/>
      <c r="L147" s="433"/>
      <c r="M147" s="194"/>
      <c r="AB147"/>
      <c r="AC147"/>
      <c r="AD147"/>
      <c r="AE147"/>
      <c r="AF147"/>
      <c r="AG147"/>
      <c r="AH147"/>
      <c r="AI147"/>
      <c r="AJ147"/>
      <c r="AK147"/>
      <c r="AL147"/>
      <c r="AM147"/>
      <c r="AN147"/>
      <c r="AO147"/>
      <c r="AP147" s="301"/>
      <c r="AQ147" s="313">
        <f t="shared" si="27"/>
        <v>81</v>
      </c>
      <c r="AR147">
        <f t="shared" si="26"/>
        <v>0</v>
      </c>
      <c r="AS147">
        <f t="shared" si="28"/>
        <v>0</v>
      </c>
      <c r="AT147"/>
      <c r="AU147"/>
      <c r="AV147"/>
      <c r="AW147"/>
      <c r="AX147"/>
      <c r="AY147"/>
      <c r="AZ147"/>
      <c r="BA147"/>
      <c r="BB147"/>
      <c r="BC147"/>
      <c r="BD147"/>
      <c r="BE147"/>
    </row>
    <row r="148" spans="2:57" ht="27" customHeight="1" x14ac:dyDescent="0.2">
      <c r="B148" s="332">
        <f t="shared" si="25"/>
        <v>37</v>
      </c>
      <c r="C148" s="381" t="s">
        <v>65</v>
      </c>
      <c r="D148" s="381" t="s">
        <v>87</v>
      </c>
      <c r="E148" s="374">
        <v>185</v>
      </c>
      <c r="F148" s="351">
        <v>388.72199999999998</v>
      </c>
      <c r="G148" s="286">
        <v>170.3</v>
      </c>
      <c r="H148" s="333">
        <v>246.3</v>
      </c>
      <c r="I148" s="466">
        <v>174.99</v>
      </c>
      <c r="J148" s="790">
        <v>289.964</v>
      </c>
      <c r="K148" s="348"/>
      <c r="L148" s="433"/>
      <c r="M148" s="194"/>
      <c r="AB148"/>
      <c r="AC148"/>
      <c r="AD148"/>
      <c r="AE148"/>
      <c r="AF148"/>
      <c r="AG148"/>
      <c r="AH148"/>
      <c r="AI148"/>
      <c r="AJ148"/>
      <c r="AK148"/>
      <c r="AL148"/>
      <c r="AM148"/>
      <c r="AN148"/>
      <c r="AO148"/>
      <c r="AP148" s="301"/>
      <c r="AQ148" s="313">
        <f t="shared" si="27"/>
        <v>82</v>
      </c>
      <c r="AR148">
        <f t="shared" si="26"/>
        <v>0</v>
      </c>
      <c r="AS148">
        <f t="shared" si="28"/>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v>
      </c>
      <c r="H149" s="333">
        <v>5.181</v>
      </c>
      <c r="I149" s="286">
        <v>229.41</v>
      </c>
      <c r="J149" s="784">
        <v>7.0949999999999998</v>
      </c>
      <c r="K149" s="348"/>
      <c r="L149" s="433"/>
      <c r="M149" s="433"/>
      <c r="AB149"/>
      <c r="AC149"/>
      <c r="AD149"/>
      <c r="AE149"/>
      <c r="AF149"/>
      <c r="AG149"/>
      <c r="AH149"/>
      <c r="AI149"/>
      <c r="AJ149"/>
      <c r="AK149"/>
      <c r="AL149"/>
      <c r="AM149"/>
      <c r="AN149"/>
      <c r="AO149"/>
      <c r="AP149" s="301"/>
      <c r="AQ149" s="313">
        <f t="shared" si="27"/>
        <v>83</v>
      </c>
      <c r="AR149">
        <f t="shared" si="26"/>
        <v>0</v>
      </c>
      <c r="AS149">
        <f t="shared" si="28"/>
        <v>0</v>
      </c>
      <c r="AT149"/>
      <c r="AU149"/>
      <c r="AV149"/>
      <c r="AW149"/>
      <c r="AX149"/>
      <c r="AY149"/>
      <c r="AZ149"/>
      <c r="BA149"/>
      <c r="BB149"/>
      <c r="BC149"/>
      <c r="BD149"/>
      <c r="BE149"/>
    </row>
    <row r="150" spans="2:57" ht="27" customHeight="1" x14ac:dyDescent="0.2">
      <c r="B150" s="330">
        <v>39</v>
      </c>
      <c r="C150" s="331" t="s">
        <v>212</v>
      </c>
      <c r="D150" s="331" t="s">
        <v>76</v>
      </c>
      <c r="E150" s="352">
        <v>149.30000000000001</v>
      </c>
      <c r="F150" s="377">
        <v>17.670000000000002</v>
      </c>
      <c r="G150" s="352">
        <v>146.06</v>
      </c>
      <c r="H150" s="377">
        <v>8.5</v>
      </c>
      <c r="I150" s="352">
        <v>149.43</v>
      </c>
      <c r="J150" s="779">
        <v>11.05</v>
      </c>
      <c r="K150" s="555"/>
      <c r="L150" s="535"/>
      <c r="M150" s="194"/>
      <c r="AB150"/>
      <c r="AC150"/>
      <c r="AD150"/>
      <c r="AE150"/>
      <c r="AF150"/>
      <c r="AG150"/>
      <c r="AH150"/>
      <c r="AI150"/>
      <c r="AJ150"/>
      <c r="AK150"/>
      <c r="AL150"/>
      <c r="AM150"/>
      <c r="AN150"/>
      <c r="AO150"/>
      <c r="AP150" s="301"/>
      <c r="AQ150" s="313">
        <f t="shared" si="27"/>
        <v>84</v>
      </c>
      <c r="AR150">
        <f t="shared" si="26"/>
        <v>0</v>
      </c>
      <c r="AS150">
        <f t="shared" si="28"/>
        <v>0</v>
      </c>
      <c r="AT150"/>
      <c r="AU150"/>
      <c r="AV150"/>
      <c r="AW150"/>
      <c r="AX150"/>
      <c r="AY150"/>
      <c r="AZ150"/>
      <c r="BA150"/>
      <c r="BB150"/>
      <c r="BC150"/>
      <c r="BD150"/>
      <c r="BE150"/>
    </row>
    <row r="151" spans="2:57" ht="27" customHeight="1" x14ac:dyDescent="0.25">
      <c r="B151" s="332">
        <f>+B150+1</f>
        <v>40</v>
      </c>
      <c r="C151" s="381" t="s">
        <v>213</v>
      </c>
      <c r="D151" s="381" t="s">
        <v>80</v>
      </c>
      <c r="E151" s="374">
        <v>39</v>
      </c>
      <c r="F151" s="351">
        <v>0.47399999999999998</v>
      </c>
      <c r="G151" s="374"/>
      <c r="H151" s="351"/>
      <c r="I151" s="730">
        <v>38.75</v>
      </c>
      <c r="J151" s="784">
        <v>0.44400000000000001</v>
      </c>
      <c r="K151" s="555"/>
      <c r="L151" s="535"/>
      <c r="AB151"/>
      <c r="AC151"/>
      <c r="AD151"/>
      <c r="AE151"/>
      <c r="AF151"/>
      <c r="AG151"/>
      <c r="AH151"/>
      <c r="AI151"/>
      <c r="AJ151"/>
      <c r="AK151"/>
      <c r="AL151"/>
      <c r="AM151"/>
      <c r="AN151"/>
      <c r="AO151"/>
      <c r="AP151" s="301"/>
      <c r="AQ151" s="313">
        <f t="shared" si="27"/>
        <v>85</v>
      </c>
      <c r="AR151">
        <f t="shared" si="26"/>
        <v>0</v>
      </c>
      <c r="AS151">
        <f t="shared" si="28"/>
        <v>0</v>
      </c>
      <c r="AT151"/>
      <c r="AU151"/>
      <c r="AV151"/>
      <c r="AW151"/>
      <c r="AX151"/>
      <c r="AY151"/>
      <c r="AZ151"/>
      <c r="BA151"/>
      <c r="BB151"/>
      <c r="BC151"/>
      <c r="BD151"/>
      <c r="BE151"/>
    </row>
    <row r="152" spans="2:57" ht="27" customHeight="1" thickBot="1" x14ac:dyDescent="0.3">
      <c r="B152" s="334">
        <v>41</v>
      </c>
      <c r="C152" s="335" t="s">
        <v>214</v>
      </c>
      <c r="D152" s="335" t="s">
        <v>80</v>
      </c>
      <c r="E152" s="382">
        <v>70</v>
      </c>
      <c r="F152" s="353">
        <v>0.81699999999999995</v>
      </c>
      <c r="G152" s="382"/>
      <c r="H152" s="353"/>
      <c r="I152" s="725" t="s">
        <v>342</v>
      </c>
      <c r="J152" s="784">
        <v>0.753</v>
      </c>
      <c r="K152" s="555"/>
      <c r="L152" s="535"/>
      <c r="AB152"/>
      <c r="AC152"/>
      <c r="AD152"/>
      <c r="AE152"/>
      <c r="AF152"/>
      <c r="AG152"/>
      <c r="AH152"/>
      <c r="AI152"/>
      <c r="AJ152"/>
      <c r="AK152"/>
      <c r="AL152"/>
      <c r="AM152"/>
      <c r="AN152"/>
      <c r="AO152"/>
      <c r="AP152" s="301"/>
      <c r="AQ152" s="313">
        <f t="shared" si="27"/>
        <v>86</v>
      </c>
      <c r="AR152">
        <f t="shared" si="26"/>
        <v>0</v>
      </c>
      <c r="AS152">
        <f t="shared" si="28"/>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1047.3910000000001</v>
      </c>
      <c r="I153" s="355"/>
      <c r="J153" s="312">
        <f>SUM(J112:J152)</f>
        <v>1306.5025000000001</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1.2473875563185095</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216</v>
      </c>
      <c r="D155" s="339"/>
      <c r="E155" s="422">
        <v>1736.79</v>
      </c>
      <c r="F155" s="360">
        <v>1</v>
      </c>
      <c r="G155" s="361" t="s">
        <v>68</v>
      </c>
      <c r="H155" s="360">
        <f>+H153/F153*100%</f>
        <v>0.57743046349665439</v>
      </c>
      <c r="I155" s="362"/>
      <c r="J155" s="297">
        <f>+J153/F153</f>
        <v>0.72027957480495608</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0</v>
      </c>
      <c r="AS156">
        <f t="shared" si="28"/>
        <v>0</v>
      </c>
      <c r="AT156"/>
      <c r="AU156"/>
      <c r="AV156"/>
      <c r="AW156"/>
      <c r="AX156"/>
      <c r="AY156"/>
      <c r="AZ156"/>
      <c r="BA156"/>
      <c r="BB156"/>
      <c r="BC156"/>
      <c r="BD156"/>
      <c r="BE156"/>
    </row>
    <row r="157" spans="2:57" ht="27" customHeight="1" thickBot="1" x14ac:dyDescent="0.25">
      <c r="B157" s="327"/>
      <c r="C157" s="289"/>
      <c r="D157" s="289"/>
      <c r="E157" s="289"/>
      <c r="F157" s="569">
        <v>25</v>
      </c>
      <c r="G157" s="620" t="s">
        <v>258</v>
      </c>
      <c r="H157" s="569">
        <v>2022</v>
      </c>
      <c r="I157" s="289"/>
      <c r="J157" s="289"/>
      <c r="K157" s="344"/>
      <c r="L157" s="345"/>
      <c r="M157" s="194"/>
      <c r="AB157"/>
      <c r="AC157"/>
      <c r="AD157"/>
      <c r="AE157"/>
      <c r="AF157"/>
      <c r="AG157"/>
      <c r="AH157"/>
      <c r="AI157"/>
      <c r="AJ157"/>
      <c r="AK157"/>
      <c r="AL157"/>
      <c r="AM157"/>
      <c r="AN157"/>
      <c r="AO157"/>
      <c r="AP157" s="301"/>
      <c r="AQ157" s="313">
        <f t="shared" si="27"/>
        <v>88</v>
      </c>
      <c r="AR157">
        <f>IF(AE34="tad","tad",AE34)</f>
        <v>0</v>
      </c>
      <c r="AS157">
        <f t="shared" si="28"/>
        <v>0</v>
      </c>
      <c r="AT157"/>
      <c r="AU157"/>
      <c r="AV157"/>
      <c r="AW157"/>
      <c r="AX157"/>
      <c r="AY157"/>
      <c r="AZ157"/>
      <c r="BA157"/>
      <c r="BB157"/>
      <c r="BC157"/>
      <c r="BD157"/>
      <c r="BE157"/>
    </row>
    <row r="158" spans="2:57" ht="27" customHeight="1" x14ac:dyDescent="0.2">
      <c r="B158" s="426" t="s">
        <v>18</v>
      </c>
      <c r="C158" s="429" t="s">
        <v>19</v>
      </c>
      <c r="D158" s="429" t="s">
        <v>73</v>
      </c>
      <c r="E158" s="915" t="s">
        <v>20</v>
      </c>
      <c r="F158" s="916"/>
      <c r="G158" s="915" t="s">
        <v>94</v>
      </c>
      <c r="H158" s="916"/>
      <c r="I158" s="915" t="s">
        <v>22</v>
      </c>
      <c r="J158" s="916"/>
      <c r="K158" s="423" t="s">
        <v>160</v>
      </c>
      <c r="L158" s="346"/>
      <c r="M158" s="194"/>
      <c r="AB158"/>
      <c r="AC158"/>
      <c r="AD158"/>
      <c r="AE158"/>
      <c r="AF158"/>
      <c r="AG158"/>
      <c r="AH158"/>
      <c r="AI158"/>
      <c r="AJ158"/>
      <c r="AK158"/>
      <c r="AL158"/>
      <c r="AM158"/>
      <c r="AN158"/>
      <c r="AO158"/>
      <c r="AP158" s="301"/>
      <c r="AQ158" s="313">
        <f t="shared" si="27"/>
        <v>89</v>
      </c>
      <c r="AR158">
        <f>IF(AE35="tad","tad",AE35)</f>
        <v>0</v>
      </c>
      <c r="AS158">
        <f t="shared" si="28"/>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7"/>
        <v>90</v>
      </c>
      <c r="AR159">
        <f>IF(AE36="tad","tad",AE36)</f>
        <v>0</v>
      </c>
      <c r="AS159">
        <f t="shared" si="28"/>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7"/>
        <v>91</v>
      </c>
      <c r="AR160">
        <f>IF(AE37="tad","tad",AE37)</f>
        <v>0</v>
      </c>
      <c r="AS160">
        <f t="shared" si="28"/>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55.73</v>
      </c>
      <c r="H162" s="285">
        <v>30.89</v>
      </c>
      <c r="I162" s="750">
        <v>55.29</v>
      </c>
      <c r="J162" s="750">
        <v>28.402999999999999</v>
      </c>
      <c r="K162" s="558">
        <v>0</v>
      </c>
      <c r="L162" s="446"/>
      <c r="M162" s="519"/>
      <c r="N162" s="437"/>
      <c r="AB162"/>
      <c r="AC162"/>
      <c r="AD162"/>
      <c r="AE162"/>
      <c r="AF162"/>
      <c r="AG162"/>
      <c r="AH162"/>
      <c r="AI162"/>
      <c r="AJ162"/>
      <c r="AK162"/>
      <c r="AL162"/>
      <c r="AM162"/>
      <c r="AN162"/>
      <c r="AO162"/>
      <c r="AP162" s="301"/>
      <c r="AQ162" s="313">
        <f t="shared" si="27"/>
        <v>93</v>
      </c>
      <c r="AR162">
        <f t="shared" si="29"/>
        <v>0</v>
      </c>
      <c r="AS162">
        <f t="shared" si="28"/>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338.7</v>
      </c>
      <c r="H163" s="333">
        <v>7.0949999999999998</v>
      </c>
      <c r="I163" s="373">
        <v>339.13</v>
      </c>
      <c r="J163" s="771">
        <v>7.4619999999999997</v>
      </c>
      <c r="K163" s="558">
        <v>0</v>
      </c>
      <c r="L163" s="447"/>
      <c r="M163" s="520"/>
      <c r="N163" s="438"/>
      <c r="AB163"/>
      <c r="AC163"/>
      <c r="AD163"/>
      <c r="AE163"/>
      <c r="AF163"/>
      <c r="AG163"/>
      <c r="AH163"/>
      <c r="AI163"/>
      <c r="AJ163"/>
      <c r="AK163"/>
      <c r="AL163"/>
      <c r="AM163"/>
      <c r="AN163"/>
      <c r="AO163"/>
      <c r="AP163" s="301"/>
      <c r="AQ163" s="313">
        <f t="shared" si="27"/>
        <v>94</v>
      </c>
      <c r="AR163">
        <f t="shared" si="29"/>
        <v>0</v>
      </c>
      <c r="AS163">
        <f t="shared" si="28"/>
        <v>0</v>
      </c>
      <c r="AT163"/>
      <c r="AU163"/>
      <c r="AV163"/>
      <c r="AW163"/>
      <c r="AX163"/>
      <c r="AY163"/>
      <c r="AZ163"/>
      <c r="BA163"/>
      <c r="BB163"/>
      <c r="BC163"/>
      <c r="BD163"/>
      <c r="BE163"/>
    </row>
    <row r="164" spans="2:57" ht="27" customHeight="1" x14ac:dyDescent="0.2">
      <c r="B164" s="332">
        <f t="shared" ref="B164:B198" si="30">+B163+1</f>
        <v>3</v>
      </c>
      <c r="C164" s="381" t="s">
        <v>30</v>
      </c>
      <c r="D164" s="381" t="s">
        <v>75</v>
      </c>
      <c r="E164" s="374">
        <v>77.5</v>
      </c>
      <c r="F164" s="351">
        <v>49.02</v>
      </c>
      <c r="G164" s="286">
        <v>74.11</v>
      </c>
      <c r="H164" s="333">
        <v>29.640999999999998</v>
      </c>
      <c r="I164" s="373">
        <v>77.5</v>
      </c>
      <c r="J164" s="771">
        <v>49.02</v>
      </c>
      <c r="K164" s="558">
        <v>0</v>
      </c>
      <c r="L164" s="447"/>
      <c r="M164" s="519"/>
      <c r="N164" s="437"/>
      <c r="AB164"/>
      <c r="AC164"/>
      <c r="AD164"/>
      <c r="AE164"/>
      <c r="AF164"/>
      <c r="AG164"/>
      <c r="AH164"/>
      <c r="AI164"/>
      <c r="AJ164"/>
      <c r="AK164"/>
      <c r="AL164"/>
      <c r="AM164"/>
      <c r="AN164"/>
      <c r="AO164"/>
      <c r="AP164" s="301"/>
      <c r="AQ164" s="313">
        <f t="shared" si="27"/>
        <v>95</v>
      </c>
      <c r="AR164">
        <f t="shared" si="29"/>
        <v>0</v>
      </c>
      <c r="AS164">
        <f t="shared" si="28"/>
        <v>0</v>
      </c>
      <c r="AT164"/>
      <c r="AU164"/>
      <c r="AV164"/>
      <c r="AW164"/>
      <c r="AX164"/>
      <c r="AY164"/>
      <c r="AZ164"/>
      <c r="BA164"/>
      <c r="BB164"/>
      <c r="BC164"/>
      <c r="BD164"/>
      <c r="BE164"/>
    </row>
    <row r="165" spans="2:57" ht="27" customHeight="1" x14ac:dyDescent="0.3">
      <c r="B165" s="332">
        <f t="shared" si="30"/>
        <v>4</v>
      </c>
      <c r="C165" s="381" t="s">
        <v>31</v>
      </c>
      <c r="D165" s="381" t="s">
        <v>76</v>
      </c>
      <c r="E165" s="374">
        <v>463.3</v>
      </c>
      <c r="F165" s="351">
        <v>49.9</v>
      </c>
      <c r="G165" s="373">
        <v>462.39</v>
      </c>
      <c r="H165" s="373">
        <v>35.720999999999997</v>
      </c>
      <c r="I165" s="351">
        <v>462.55</v>
      </c>
      <c r="J165" s="771">
        <v>38.762</v>
      </c>
      <c r="K165" s="558">
        <v>0</v>
      </c>
      <c r="L165" s="537"/>
      <c r="M165" s="434"/>
      <c r="N165" s="435"/>
      <c r="O165" s="436"/>
      <c r="AB165"/>
      <c r="AC165"/>
      <c r="AD165"/>
      <c r="AE165"/>
      <c r="AF165"/>
      <c r="AG165"/>
      <c r="AH165"/>
      <c r="AI165"/>
      <c r="AJ165"/>
      <c r="AK165"/>
      <c r="AL165"/>
      <c r="AM165"/>
      <c r="AN165"/>
      <c r="AO165"/>
      <c r="AP165" s="301"/>
      <c r="AQ165" s="313">
        <f t="shared" si="27"/>
        <v>96</v>
      </c>
      <c r="AR165">
        <f t="shared" si="29"/>
        <v>0</v>
      </c>
      <c r="AS165">
        <f t="shared" si="28"/>
        <v>0</v>
      </c>
      <c r="AT165"/>
      <c r="AU165"/>
      <c r="AV165"/>
      <c r="AW165"/>
      <c r="AX165"/>
      <c r="AY165"/>
      <c r="AZ165"/>
      <c r="BA165"/>
      <c r="BB165"/>
      <c r="BC165"/>
      <c r="BD165"/>
      <c r="BE165"/>
    </row>
    <row r="166" spans="2:57" ht="27" customHeight="1" x14ac:dyDescent="0.25">
      <c r="B166" s="332">
        <f t="shared" si="30"/>
        <v>5</v>
      </c>
      <c r="C166" s="381" t="s">
        <v>32</v>
      </c>
      <c r="D166" s="381" t="s">
        <v>77</v>
      </c>
      <c r="E166" s="374">
        <v>207</v>
      </c>
      <c r="F166" s="351">
        <v>9.5030000000000001</v>
      </c>
      <c r="G166" s="286">
        <v>205.3</v>
      </c>
      <c r="H166" s="287">
        <v>7.3540000000000001</v>
      </c>
      <c r="I166" s="744">
        <v>206.3</v>
      </c>
      <c r="J166" s="771">
        <v>8.67</v>
      </c>
      <c r="K166" s="558">
        <v>0</v>
      </c>
      <c r="L166" s="538"/>
      <c r="M166" s="194"/>
      <c r="AB166"/>
      <c r="AC166"/>
      <c r="AD166"/>
      <c r="AE166"/>
      <c r="AF166"/>
      <c r="AG166"/>
      <c r="AH166"/>
      <c r="AI166"/>
      <c r="AJ166"/>
      <c r="AK166"/>
      <c r="AL166"/>
      <c r="AM166"/>
      <c r="AN166"/>
      <c r="AO166"/>
      <c r="AP166" s="301"/>
      <c r="AQ166" s="313">
        <f t="shared" si="27"/>
        <v>97</v>
      </c>
      <c r="AR166">
        <f t="shared" si="29"/>
        <v>0</v>
      </c>
      <c r="AS166">
        <f t="shared" si="28"/>
        <v>0</v>
      </c>
      <c r="AT166"/>
      <c r="AU166"/>
      <c r="AV166"/>
      <c r="AW166"/>
      <c r="AX166"/>
      <c r="AY166"/>
      <c r="AZ166"/>
      <c r="BA166"/>
      <c r="BB166"/>
      <c r="BC166"/>
      <c r="BD166"/>
      <c r="BE166"/>
    </row>
    <row r="167" spans="2:57" ht="27" customHeight="1" x14ac:dyDescent="0.25">
      <c r="B167" s="332">
        <f t="shared" si="30"/>
        <v>6</v>
      </c>
      <c r="C167" s="381" t="s">
        <v>33</v>
      </c>
      <c r="D167" s="381" t="s">
        <v>77</v>
      </c>
      <c r="E167" s="374">
        <v>320</v>
      </c>
      <c r="F167" s="351">
        <v>5.1509999999999998</v>
      </c>
      <c r="G167" s="286">
        <v>316.26</v>
      </c>
      <c r="H167" s="287">
        <v>3.4660000000000002</v>
      </c>
      <c r="I167" s="744">
        <v>317.35000000000002</v>
      </c>
      <c r="J167" s="771">
        <v>3.9460000000000002</v>
      </c>
      <c r="K167" s="558">
        <v>0</v>
      </c>
      <c r="L167" s="539"/>
      <c r="M167" s="194"/>
      <c r="AB167"/>
      <c r="AC167"/>
      <c r="AD167"/>
      <c r="AE167"/>
      <c r="AF167"/>
      <c r="AG167"/>
      <c r="AH167"/>
      <c r="AI167"/>
      <c r="AJ167"/>
      <c r="AK167"/>
      <c r="AL167"/>
      <c r="AM167"/>
      <c r="AN167"/>
      <c r="AO167"/>
      <c r="AP167" s="301"/>
      <c r="AQ167" s="313">
        <f t="shared" si="27"/>
        <v>98</v>
      </c>
      <c r="AR167">
        <f t="shared" si="29"/>
        <v>0</v>
      </c>
      <c r="AS167">
        <f t="shared" si="28"/>
        <v>0</v>
      </c>
      <c r="AT167"/>
      <c r="AU167"/>
      <c r="AV167"/>
      <c r="AW167"/>
      <c r="AX167"/>
      <c r="AY167"/>
      <c r="AZ167"/>
      <c r="BA167"/>
      <c r="BB167"/>
      <c r="BC167"/>
      <c r="BD167"/>
      <c r="BE167"/>
    </row>
    <row r="168" spans="2:57" ht="27" customHeight="1" x14ac:dyDescent="0.25">
      <c r="B168" s="332">
        <f t="shared" si="30"/>
        <v>7</v>
      </c>
      <c r="C168" s="381" t="s">
        <v>34</v>
      </c>
      <c r="D168" s="381" t="s">
        <v>78</v>
      </c>
      <c r="E168" s="374">
        <v>90</v>
      </c>
      <c r="F168" s="351">
        <v>689.09100000000001</v>
      </c>
      <c r="G168" s="286">
        <v>85.14</v>
      </c>
      <c r="H168" s="286">
        <v>466.26100000000002</v>
      </c>
      <c r="I168" s="744">
        <v>88.35</v>
      </c>
      <c r="J168" s="771">
        <v>603.99900000000002</v>
      </c>
      <c r="K168" s="558">
        <v>0</v>
      </c>
      <c r="L168" s="538"/>
      <c r="M168" s="194"/>
      <c r="AB168"/>
      <c r="AC168"/>
      <c r="AD168"/>
      <c r="AE168"/>
      <c r="AF168"/>
      <c r="AG168"/>
      <c r="AH168"/>
      <c r="AI168"/>
      <c r="AJ168"/>
      <c r="AK168"/>
      <c r="AL168"/>
      <c r="AM168"/>
      <c r="AN168"/>
      <c r="AO168"/>
      <c r="AP168" s="301"/>
      <c r="AQ168" s="313">
        <f t="shared" si="27"/>
        <v>99</v>
      </c>
      <c r="AR168">
        <f t="shared" si="29"/>
        <v>0</v>
      </c>
      <c r="AS168">
        <f t="shared" si="28"/>
        <v>0</v>
      </c>
      <c r="AT168"/>
      <c r="AU168"/>
      <c r="AV168"/>
      <c r="AW168"/>
      <c r="AX168"/>
      <c r="AY168"/>
      <c r="AZ168"/>
      <c r="BA168"/>
      <c r="BB168"/>
      <c r="BC168"/>
      <c r="BD168"/>
      <c r="BE168"/>
    </row>
    <row r="169" spans="2:57" ht="27" customHeight="1" x14ac:dyDescent="0.2">
      <c r="B169" s="332">
        <f t="shared" si="30"/>
        <v>8</v>
      </c>
      <c r="C169" s="381" t="s">
        <v>35</v>
      </c>
      <c r="D169" s="381" t="s">
        <v>79</v>
      </c>
      <c r="E169" s="374">
        <v>120.5</v>
      </c>
      <c r="F169" s="351">
        <v>2.0920000000000001</v>
      </c>
      <c r="G169" s="286">
        <v>118.44</v>
      </c>
      <c r="H169" s="333">
        <v>1.232</v>
      </c>
      <c r="I169" s="375">
        <v>117.33</v>
      </c>
      <c r="J169" s="771">
        <v>0.64900000000000002</v>
      </c>
      <c r="K169" s="558">
        <v>0</v>
      </c>
      <c r="L169" s="540"/>
      <c r="M169" s="194"/>
      <c r="AB169"/>
      <c r="AC169"/>
      <c r="AD169"/>
      <c r="AE169"/>
      <c r="AF169"/>
      <c r="AG169"/>
      <c r="AH169"/>
      <c r="AI169"/>
      <c r="AJ169"/>
      <c r="AK169"/>
      <c r="AL169"/>
      <c r="AM169"/>
      <c r="AN169"/>
      <c r="AO169"/>
      <c r="AP169" s="301"/>
      <c r="AQ169" s="313">
        <f t="shared" si="27"/>
        <v>100</v>
      </c>
      <c r="AR169">
        <f t="shared" si="29"/>
        <v>0</v>
      </c>
      <c r="AS169">
        <f t="shared" si="28"/>
        <v>0</v>
      </c>
      <c r="AT169"/>
      <c r="AU169"/>
      <c r="AV169"/>
      <c r="AW169"/>
      <c r="AX169"/>
      <c r="AY169"/>
      <c r="AZ169"/>
      <c r="BA169"/>
      <c r="BB169"/>
      <c r="BC169"/>
      <c r="BD169"/>
      <c r="BE169"/>
    </row>
    <row r="170" spans="2:57" ht="27" customHeight="1" x14ac:dyDescent="0.25">
      <c r="B170" s="332">
        <f t="shared" si="30"/>
        <v>9</v>
      </c>
      <c r="C170" s="381" t="s">
        <v>36</v>
      </c>
      <c r="D170" s="381" t="s">
        <v>79</v>
      </c>
      <c r="E170" s="374">
        <v>120.8</v>
      </c>
      <c r="F170" s="351">
        <v>2.3530000000000002</v>
      </c>
      <c r="G170" s="286">
        <v>115.88</v>
      </c>
      <c r="H170" s="333">
        <v>0.96199999999999997</v>
      </c>
      <c r="I170" s="744">
        <v>116.36</v>
      </c>
      <c r="J170" s="771">
        <v>0.32</v>
      </c>
      <c r="K170" s="558">
        <v>0</v>
      </c>
      <c r="L170" s="538"/>
      <c r="M170" s="194"/>
      <c r="AB170"/>
      <c r="AC170"/>
      <c r="AD170"/>
      <c r="AE170"/>
      <c r="AF170"/>
      <c r="AG170"/>
      <c r="AH170"/>
      <c r="AI170"/>
      <c r="AJ170"/>
      <c r="AK170"/>
      <c r="AL170"/>
      <c r="AM170"/>
      <c r="AN170"/>
      <c r="AO170"/>
      <c r="AP170" s="301"/>
      <c r="AQ170" s="313">
        <f t="shared" si="27"/>
        <v>101</v>
      </c>
      <c r="AR170">
        <f t="shared" si="29"/>
        <v>0</v>
      </c>
      <c r="AS170">
        <f t="shared" si="28"/>
        <v>0</v>
      </c>
      <c r="AT170"/>
      <c r="AU170"/>
      <c r="AV170"/>
      <c r="AW170"/>
      <c r="AX170"/>
      <c r="AY170"/>
      <c r="AZ170"/>
      <c r="BA170"/>
      <c r="BB170"/>
      <c r="BC170"/>
      <c r="BD170"/>
      <c r="BE170"/>
    </row>
    <row r="171" spans="2:57" ht="27" customHeight="1" x14ac:dyDescent="0.25">
      <c r="B171" s="332">
        <f t="shared" si="30"/>
        <v>10</v>
      </c>
      <c r="C171" s="381" t="s">
        <v>37</v>
      </c>
      <c r="D171" s="381" t="s">
        <v>80</v>
      </c>
      <c r="E171" s="374">
        <v>46.5</v>
      </c>
      <c r="F171" s="374">
        <v>4.5999999999999996</v>
      </c>
      <c r="G171" s="286">
        <v>42.79</v>
      </c>
      <c r="H171" s="286">
        <v>1.9059999999999999</v>
      </c>
      <c r="I171" s="744">
        <v>42.58</v>
      </c>
      <c r="J171" s="771">
        <v>0.50700000000000001</v>
      </c>
      <c r="K171" s="558">
        <v>0</v>
      </c>
      <c r="L171" s="538"/>
      <c r="M171" s="194"/>
      <c r="AB171"/>
      <c r="AC171"/>
      <c r="AD171"/>
      <c r="AE171"/>
      <c r="AF171"/>
      <c r="AG171"/>
      <c r="AH171"/>
      <c r="AI171"/>
      <c r="AJ171"/>
      <c r="AK171"/>
      <c r="AL171"/>
      <c r="AM171"/>
      <c r="AN171"/>
      <c r="AO171"/>
      <c r="AP171" s="301"/>
      <c r="AQ171" s="313">
        <f t="shared" si="27"/>
        <v>102</v>
      </c>
      <c r="AR171">
        <f t="shared" si="29"/>
        <v>0</v>
      </c>
      <c r="AS171">
        <f t="shared" si="28"/>
        <v>0</v>
      </c>
      <c r="AT171"/>
      <c r="AU171"/>
      <c r="AV171"/>
      <c r="AW171"/>
      <c r="AX171"/>
      <c r="AY171"/>
      <c r="AZ171"/>
      <c r="BA171"/>
      <c r="BB171"/>
      <c r="BC171"/>
      <c r="BD171"/>
      <c r="BE171"/>
    </row>
    <row r="172" spans="2:57" ht="27" customHeight="1" x14ac:dyDescent="0.25">
      <c r="B172" s="332">
        <f t="shared" si="30"/>
        <v>11</v>
      </c>
      <c r="C172" s="381" t="s">
        <v>39</v>
      </c>
      <c r="D172" s="381" t="s">
        <v>80</v>
      </c>
      <c r="E172" s="374">
        <v>51.5</v>
      </c>
      <c r="F172" s="351">
        <v>2.4159999999999999</v>
      </c>
      <c r="G172" s="286">
        <v>48.52</v>
      </c>
      <c r="H172" s="286">
        <v>1.4239999999999999</v>
      </c>
      <c r="I172" s="745">
        <v>49.65</v>
      </c>
      <c r="J172" s="771">
        <v>1.796</v>
      </c>
      <c r="K172" s="558">
        <v>0</v>
      </c>
      <c r="L172" s="538"/>
      <c r="M172" s="194"/>
      <c r="AB172"/>
      <c r="AC172"/>
      <c r="AD172"/>
      <c r="AE172"/>
      <c r="AF172"/>
      <c r="AG172"/>
      <c r="AH172"/>
      <c r="AI172"/>
      <c r="AJ172"/>
      <c r="AK172"/>
      <c r="AL172"/>
      <c r="AM172"/>
      <c r="AN172"/>
      <c r="AO172"/>
      <c r="AP172" s="301"/>
      <c r="AQ172" s="313">
        <f t="shared" si="27"/>
        <v>103</v>
      </c>
      <c r="AR172">
        <f t="shared" si="29"/>
        <v>0</v>
      </c>
      <c r="AS172">
        <f t="shared" si="28"/>
        <v>0</v>
      </c>
      <c r="AT172"/>
      <c r="AU172"/>
      <c r="AV172"/>
      <c r="AW172"/>
      <c r="AX172"/>
      <c r="AY172"/>
      <c r="AZ172"/>
      <c r="BA172"/>
      <c r="BB172"/>
      <c r="BC172"/>
      <c r="BD172"/>
      <c r="BE172"/>
    </row>
    <row r="173" spans="2:57" ht="27" customHeight="1" x14ac:dyDescent="0.25">
      <c r="B173" s="332">
        <f t="shared" si="30"/>
        <v>12</v>
      </c>
      <c r="C173" s="381" t="s">
        <v>40</v>
      </c>
      <c r="D173" s="381" t="s">
        <v>78</v>
      </c>
      <c r="E173" s="374">
        <v>81</v>
      </c>
      <c r="F173" s="351">
        <v>1.093</v>
      </c>
      <c r="G173" s="286">
        <v>79.91</v>
      </c>
      <c r="H173" s="333">
        <v>0.745</v>
      </c>
      <c r="I173" s="744">
        <v>78.48</v>
      </c>
      <c r="J173" s="771">
        <v>0.83399999999999996</v>
      </c>
      <c r="K173" s="558">
        <v>0</v>
      </c>
      <c r="L173" s="538"/>
      <c r="M173" s="194"/>
      <c r="AB173"/>
      <c r="AC173"/>
      <c r="AD173"/>
      <c r="AE173"/>
      <c r="AF173"/>
      <c r="AG173"/>
      <c r="AH173"/>
      <c r="AI173"/>
      <c r="AJ173"/>
      <c r="AK173"/>
      <c r="AL173"/>
      <c r="AM173"/>
      <c r="AN173"/>
      <c r="AO173"/>
      <c r="AP173" s="301"/>
      <c r="AQ173" s="313">
        <f t="shared" si="27"/>
        <v>104</v>
      </c>
      <c r="AR173">
        <f t="shared" si="29"/>
        <v>0</v>
      </c>
      <c r="AS173">
        <f t="shared" si="28"/>
        <v>0</v>
      </c>
      <c r="AT173"/>
      <c r="AU173"/>
      <c r="AV173"/>
      <c r="AW173"/>
      <c r="AX173"/>
      <c r="AY173"/>
      <c r="AZ173"/>
      <c r="BA173"/>
      <c r="BB173"/>
      <c r="BC173"/>
      <c r="BD173"/>
      <c r="BE173"/>
    </row>
    <row r="174" spans="2:57" ht="27" customHeight="1" x14ac:dyDescent="0.25">
      <c r="B174" s="332">
        <f t="shared" si="30"/>
        <v>13</v>
      </c>
      <c r="C174" s="381" t="s">
        <v>41</v>
      </c>
      <c r="D174" s="381" t="s">
        <v>78</v>
      </c>
      <c r="E174" s="374">
        <v>82.8</v>
      </c>
      <c r="F174" s="351">
        <v>0.42899999999999999</v>
      </c>
      <c r="G174" s="286">
        <v>81.96</v>
      </c>
      <c r="H174" s="333">
        <v>0.30299999999999999</v>
      </c>
      <c r="I174" s="744">
        <v>81.400000000000006</v>
      </c>
      <c r="J174" s="771">
        <v>5.0999999999999997E-2</v>
      </c>
      <c r="K174" s="558">
        <v>0</v>
      </c>
      <c r="L174" s="538"/>
      <c r="M174" s="194"/>
      <c r="AB174"/>
      <c r="AC174"/>
      <c r="AD174"/>
      <c r="AE174"/>
      <c r="AF174"/>
      <c r="AG174"/>
      <c r="AH174"/>
      <c r="AI174"/>
      <c r="AJ174"/>
      <c r="AK174"/>
      <c r="AL174"/>
      <c r="AM174"/>
      <c r="AN174"/>
      <c r="AO174"/>
      <c r="AP174" s="301"/>
      <c r="AQ174" s="313">
        <f t="shared" si="27"/>
        <v>105</v>
      </c>
      <c r="AR174">
        <f t="shared" si="29"/>
        <v>0</v>
      </c>
      <c r="AS174">
        <f t="shared" si="28"/>
        <v>0</v>
      </c>
      <c r="AT174"/>
      <c r="AU174"/>
      <c r="AV174"/>
      <c r="AW174"/>
      <c r="AX174"/>
      <c r="AY174"/>
      <c r="AZ174"/>
      <c r="BA174"/>
      <c r="BB174"/>
      <c r="BC174"/>
      <c r="BD174"/>
      <c r="BE174"/>
    </row>
    <row r="175" spans="2:57" ht="27" customHeight="1" x14ac:dyDescent="0.25">
      <c r="B175" s="332">
        <f t="shared" si="30"/>
        <v>14</v>
      </c>
      <c r="C175" s="381" t="s">
        <v>42</v>
      </c>
      <c r="D175" s="381" t="s">
        <v>78</v>
      </c>
      <c r="E175" s="374">
        <v>69.95</v>
      </c>
      <c r="F175" s="351">
        <v>0.25</v>
      </c>
      <c r="G175" s="286">
        <v>69.47</v>
      </c>
      <c r="H175" s="374">
        <v>0.17599999999999999</v>
      </c>
      <c r="I175" s="744">
        <v>63.68</v>
      </c>
      <c r="J175" s="771">
        <v>0.215</v>
      </c>
      <c r="K175" s="558">
        <v>0</v>
      </c>
      <c r="L175" s="538"/>
      <c r="M175" s="194"/>
      <c r="AB175"/>
      <c r="AC175"/>
      <c r="AD175"/>
      <c r="AE175"/>
      <c r="AF175"/>
      <c r="AG175"/>
      <c r="AH175"/>
      <c r="AI175"/>
      <c r="AJ175"/>
      <c r="AK175"/>
      <c r="AL175"/>
      <c r="AM175"/>
      <c r="AN175"/>
      <c r="AO175"/>
      <c r="AP175" s="301"/>
      <c r="AQ175" s="313">
        <f t="shared" si="27"/>
        <v>106</v>
      </c>
      <c r="AR175">
        <f t="shared" si="29"/>
        <v>0</v>
      </c>
      <c r="AS175">
        <f t="shared" si="28"/>
        <v>0</v>
      </c>
      <c r="AT175"/>
      <c r="AU175"/>
      <c r="AV175"/>
      <c r="AW175"/>
      <c r="AX175"/>
      <c r="AY175"/>
      <c r="AZ175"/>
      <c r="BA175"/>
      <c r="BB175"/>
      <c r="BC175"/>
      <c r="BD175"/>
      <c r="BE175"/>
    </row>
    <row r="176" spans="2:57" ht="27" customHeight="1" x14ac:dyDescent="0.25">
      <c r="B176" s="332">
        <f t="shared" si="30"/>
        <v>15</v>
      </c>
      <c r="C176" s="381" t="s">
        <v>43</v>
      </c>
      <c r="D176" s="381" t="s">
        <v>78</v>
      </c>
      <c r="E176" s="374">
        <v>48.2</v>
      </c>
      <c r="F176" s="351">
        <v>0.38500000000000001</v>
      </c>
      <c r="G176" s="286">
        <v>45.8</v>
      </c>
      <c r="H176" s="333">
        <v>8.4000000000000005E-2</v>
      </c>
      <c r="I176" s="744">
        <v>47</v>
      </c>
      <c r="J176" s="771">
        <v>0.39700000000000002</v>
      </c>
      <c r="K176" s="558">
        <v>0</v>
      </c>
      <c r="L176" s="538"/>
      <c r="M176" s="194"/>
      <c r="AB176"/>
      <c r="AC176"/>
      <c r="AD176"/>
      <c r="AE176"/>
      <c r="AF176"/>
      <c r="AG176"/>
      <c r="AH176"/>
      <c r="AI176"/>
      <c r="AJ176"/>
      <c r="AK176"/>
      <c r="AL176"/>
      <c r="AM176"/>
      <c r="AN176"/>
      <c r="AO176"/>
      <c r="AP176" s="301"/>
      <c r="AQ176" s="313">
        <f t="shared" si="27"/>
        <v>107</v>
      </c>
      <c r="AR176">
        <f t="shared" si="29"/>
        <v>0</v>
      </c>
      <c r="AS176">
        <f t="shared" si="28"/>
        <v>0</v>
      </c>
      <c r="AT176"/>
      <c r="AU176"/>
      <c r="AV176"/>
      <c r="AW176"/>
      <c r="AX176"/>
      <c r="AY176"/>
      <c r="AZ176"/>
      <c r="BA176"/>
      <c r="BB176"/>
      <c r="BC176"/>
      <c r="BD176"/>
      <c r="BE176"/>
    </row>
    <row r="177" spans="2:57" ht="27" customHeight="1" x14ac:dyDescent="0.2">
      <c r="B177" s="332">
        <f t="shared" si="30"/>
        <v>16</v>
      </c>
      <c r="C177" s="381" t="s">
        <v>81</v>
      </c>
      <c r="D177" s="381" t="s">
        <v>44</v>
      </c>
      <c r="E177" s="374">
        <v>136</v>
      </c>
      <c r="F177" s="351">
        <v>440</v>
      </c>
      <c r="G177" s="286">
        <v>132.91999999999999</v>
      </c>
      <c r="H177" s="286">
        <v>211.166</v>
      </c>
      <c r="I177" s="373">
        <v>132.53</v>
      </c>
      <c r="J177" s="774">
        <v>201.67</v>
      </c>
      <c r="K177" s="558">
        <v>0</v>
      </c>
      <c r="L177" s="452"/>
      <c r="M177" s="194"/>
      <c r="AB177"/>
      <c r="AC177"/>
      <c r="AD177"/>
      <c r="AE177"/>
      <c r="AF177"/>
      <c r="AG177"/>
      <c r="AH177"/>
      <c r="AI177"/>
      <c r="AJ177"/>
      <c r="AK177"/>
      <c r="AL177"/>
      <c r="AM177"/>
      <c r="AN177"/>
      <c r="AO177"/>
      <c r="AP177" s="301"/>
      <c r="AQ177" s="313">
        <f t="shared" si="27"/>
        <v>108</v>
      </c>
      <c r="AR177">
        <f t="shared" si="29"/>
        <v>0</v>
      </c>
      <c r="AS177">
        <f t="shared" si="28"/>
        <v>0</v>
      </c>
      <c r="AT177"/>
      <c r="AU177"/>
      <c r="AV177"/>
      <c r="AW177"/>
      <c r="AX177"/>
      <c r="AY177"/>
      <c r="AZ177"/>
      <c r="BA177"/>
      <c r="BB177"/>
      <c r="BC177"/>
      <c r="BD177"/>
      <c r="BE177"/>
    </row>
    <row r="178" spans="2:57" ht="27" customHeight="1" x14ac:dyDescent="0.2">
      <c r="B178" s="332">
        <f t="shared" si="30"/>
        <v>17</v>
      </c>
      <c r="C178" s="381" t="s">
        <v>45</v>
      </c>
      <c r="D178" s="381" t="s">
        <v>44</v>
      </c>
      <c r="E178" s="374">
        <v>113.5</v>
      </c>
      <c r="F178" s="351">
        <v>2.3410000000000002</v>
      </c>
      <c r="G178" s="286">
        <v>113</v>
      </c>
      <c r="H178" s="286">
        <v>2.1120000000000001</v>
      </c>
      <c r="I178" s="746">
        <v>112.21</v>
      </c>
      <c r="J178" s="774">
        <v>1.77</v>
      </c>
      <c r="K178" s="558">
        <v>0</v>
      </c>
      <c r="L178" s="452"/>
      <c r="M178" s="194"/>
      <c r="AB178"/>
      <c r="AC178"/>
      <c r="AD178"/>
      <c r="AE178"/>
      <c r="AF178"/>
      <c r="AG178"/>
      <c r="AH178"/>
      <c r="AI178"/>
      <c r="AJ178"/>
      <c r="AK178"/>
      <c r="AL178"/>
      <c r="AM178"/>
      <c r="AN178"/>
      <c r="AO178"/>
      <c r="AP178" s="301"/>
      <c r="AQ178" s="313">
        <f t="shared" si="27"/>
        <v>109</v>
      </c>
      <c r="AR178">
        <f t="shared" si="29"/>
        <v>0</v>
      </c>
      <c r="AS178">
        <f t="shared" si="28"/>
        <v>0</v>
      </c>
      <c r="AT178"/>
      <c r="AU178"/>
      <c r="AV178"/>
      <c r="AW178"/>
      <c r="AX178"/>
      <c r="AY178"/>
      <c r="AZ178"/>
      <c r="BA178"/>
      <c r="BB178"/>
      <c r="BC178"/>
      <c r="BD178"/>
      <c r="BE178"/>
    </row>
    <row r="179" spans="2:57" ht="27" customHeight="1" x14ac:dyDescent="0.2">
      <c r="B179" s="332">
        <f t="shared" si="30"/>
        <v>18</v>
      </c>
      <c r="C179" s="381" t="s">
        <v>46</v>
      </c>
      <c r="D179" s="381" t="s">
        <v>44</v>
      </c>
      <c r="E179" s="374">
        <v>225.4</v>
      </c>
      <c r="F179" s="374">
        <v>0.32300000000000001</v>
      </c>
      <c r="G179" s="286">
        <v>203.5</v>
      </c>
      <c r="H179" s="286">
        <v>0.27300000000000002</v>
      </c>
      <c r="I179" s="373">
        <v>201.8</v>
      </c>
      <c r="J179" s="774">
        <v>0.12</v>
      </c>
      <c r="K179" s="558">
        <v>0</v>
      </c>
      <c r="L179" s="452"/>
      <c r="M179" s="192"/>
      <c r="AB179"/>
      <c r="AC179"/>
      <c r="AD179"/>
      <c r="AE179"/>
      <c r="AF179"/>
      <c r="AG179"/>
      <c r="AH179"/>
      <c r="AI179"/>
      <c r="AJ179"/>
      <c r="AK179"/>
      <c r="AL179"/>
      <c r="AM179"/>
      <c r="AN179"/>
      <c r="AO179"/>
      <c r="AP179" s="301"/>
      <c r="AQ179" s="313">
        <f t="shared" si="27"/>
        <v>110</v>
      </c>
      <c r="AR179">
        <f t="shared" si="29"/>
        <v>0</v>
      </c>
      <c r="AS179">
        <f t="shared" si="28"/>
        <v>0</v>
      </c>
      <c r="AT179"/>
      <c r="AU179"/>
      <c r="AV179"/>
      <c r="AW179"/>
      <c r="AX179"/>
      <c r="AY179"/>
      <c r="AZ179"/>
      <c r="BA179"/>
      <c r="BB179"/>
      <c r="BC179"/>
      <c r="BD179"/>
      <c r="BE179"/>
    </row>
    <row r="180" spans="2:57" ht="27" customHeight="1" x14ac:dyDescent="0.2">
      <c r="B180" s="332">
        <f t="shared" si="30"/>
        <v>19</v>
      </c>
      <c r="C180" s="381" t="s">
        <v>47</v>
      </c>
      <c r="D180" s="381" t="s">
        <v>44</v>
      </c>
      <c r="E180" s="374">
        <v>224</v>
      </c>
      <c r="F180" s="351">
        <v>0.42899999999999999</v>
      </c>
      <c r="G180" s="286">
        <v>223.53</v>
      </c>
      <c r="H180" s="286">
        <v>0.38400000000000001</v>
      </c>
      <c r="I180" s="746">
        <v>221.34</v>
      </c>
      <c r="J180" s="775">
        <v>0.23</v>
      </c>
      <c r="K180" s="558">
        <v>0</v>
      </c>
      <c r="L180" s="453"/>
      <c r="M180" s="194"/>
      <c r="AB180"/>
      <c r="AC180"/>
      <c r="AD180"/>
      <c r="AE180"/>
      <c r="AF180"/>
      <c r="AG180"/>
      <c r="AH180"/>
      <c r="AI180"/>
      <c r="AJ180"/>
      <c r="AK180"/>
      <c r="AL180"/>
      <c r="AM180"/>
      <c r="AN180"/>
      <c r="AO180"/>
      <c r="AP180" s="301"/>
      <c r="AQ180" s="313">
        <f t="shared" si="27"/>
        <v>111</v>
      </c>
      <c r="AR180">
        <f t="shared" si="29"/>
        <v>0</v>
      </c>
      <c r="AS180">
        <f t="shared" si="28"/>
        <v>0</v>
      </c>
      <c r="AT180"/>
      <c r="AU180"/>
      <c r="AV180"/>
      <c r="AW180"/>
      <c r="AX180"/>
      <c r="AY180"/>
      <c r="AZ180"/>
      <c r="BA180"/>
      <c r="BB180"/>
      <c r="BC180"/>
      <c r="BD180"/>
      <c r="BE180"/>
    </row>
    <row r="181" spans="2:57" ht="27" customHeight="1" x14ac:dyDescent="0.2">
      <c r="B181" s="332">
        <f t="shared" si="30"/>
        <v>20</v>
      </c>
      <c r="C181" s="381" t="s">
        <v>48</v>
      </c>
      <c r="D181" s="381" t="s">
        <v>44</v>
      </c>
      <c r="E181" s="374">
        <v>196</v>
      </c>
      <c r="F181" s="351">
        <v>0.77100000000000002</v>
      </c>
      <c r="G181" s="286">
        <v>195.5</v>
      </c>
      <c r="H181" s="286">
        <v>0.67500000000000004</v>
      </c>
      <c r="I181" s="746">
        <v>196.01</v>
      </c>
      <c r="J181" s="774">
        <v>0.77</v>
      </c>
      <c r="K181" s="558">
        <v>0</v>
      </c>
      <c r="L181" s="452"/>
      <c r="M181" s="194"/>
      <c r="AB181"/>
      <c r="AC181"/>
      <c r="AD181"/>
      <c r="AE181"/>
      <c r="AF181"/>
      <c r="AG181"/>
      <c r="AH181"/>
      <c r="AI181"/>
      <c r="AJ181"/>
      <c r="AK181"/>
      <c r="AL181"/>
      <c r="AM181"/>
      <c r="AN181"/>
      <c r="AO181"/>
      <c r="AP181" s="301"/>
      <c r="AQ181" s="313">
        <f t="shared" si="27"/>
        <v>112</v>
      </c>
      <c r="AR181">
        <f t="shared" si="29"/>
        <v>0</v>
      </c>
      <c r="AS181">
        <f t="shared" si="28"/>
        <v>0</v>
      </c>
      <c r="AT181"/>
      <c r="AU181"/>
      <c r="AV181"/>
      <c r="AW181"/>
      <c r="AX181"/>
      <c r="AY181"/>
      <c r="AZ181"/>
      <c r="BA181"/>
      <c r="BB181"/>
      <c r="BC181"/>
      <c r="BD181"/>
      <c r="BE181"/>
    </row>
    <row r="182" spans="2:57" ht="27" customHeight="1" x14ac:dyDescent="0.2">
      <c r="B182" s="332">
        <f t="shared" si="30"/>
        <v>21</v>
      </c>
      <c r="C182" s="381" t="s">
        <v>49</v>
      </c>
      <c r="D182" s="381" t="s">
        <v>44</v>
      </c>
      <c r="E182" s="374">
        <v>174</v>
      </c>
      <c r="F182" s="351">
        <v>0.22600000000000001</v>
      </c>
      <c r="G182" s="286">
        <v>170.57</v>
      </c>
      <c r="H182" s="286">
        <v>0.16300000000000001</v>
      </c>
      <c r="I182" s="746">
        <v>168.47</v>
      </c>
      <c r="J182" s="774">
        <v>0.06</v>
      </c>
      <c r="K182" s="558">
        <v>0</v>
      </c>
      <c r="L182" s="452"/>
      <c r="M182" s="194"/>
      <c r="AB182"/>
      <c r="AC182"/>
      <c r="AD182"/>
      <c r="AE182"/>
      <c r="AF182"/>
      <c r="AG182"/>
      <c r="AH182"/>
      <c r="AI182"/>
      <c r="AJ182"/>
      <c r="AK182"/>
      <c r="AL182"/>
      <c r="AM182"/>
      <c r="AN182"/>
      <c r="AO182"/>
      <c r="AP182" s="301"/>
      <c r="AQ182" s="313">
        <f t="shared" si="27"/>
        <v>113</v>
      </c>
      <c r="AR182">
        <f t="shared" si="29"/>
        <v>0</v>
      </c>
      <c r="AS182">
        <f t="shared" si="28"/>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226.6</v>
      </c>
      <c r="H183" s="285">
        <v>0.49199999999999999</v>
      </c>
      <c r="I183" s="747">
        <v>225.98</v>
      </c>
      <c r="J183" s="776">
        <v>0.44</v>
      </c>
      <c r="K183" s="558">
        <v>0</v>
      </c>
      <c r="L183" s="453"/>
      <c r="M183" s="194"/>
      <c r="AB183"/>
      <c r="AC183"/>
      <c r="AD183"/>
      <c r="AE183"/>
      <c r="AF183"/>
      <c r="AG183"/>
      <c r="AH183"/>
      <c r="AI183"/>
      <c r="AJ183"/>
      <c r="AK183"/>
      <c r="AL183"/>
      <c r="AM183"/>
      <c r="AN183"/>
      <c r="AO183"/>
      <c r="AP183" s="301"/>
      <c r="AQ183" s="313">
        <f t="shared" si="27"/>
        <v>114</v>
      </c>
      <c r="AR183">
        <f t="shared" si="29"/>
        <v>0</v>
      </c>
      <c r="AS183">
        <f t="shared" si="28"/>
        <v>0</v>
      </c>
      <c r="AT183"/>
      <c r="AU183"/>
      <c r="AV183"/>
      <c r="AW183"/>
      <c r="AX183"/>
      <c r="AY183"/>
      <c r="AZ183"/>
      <c r="BA183"/>
      <c r="BB183"/>
      <c r="BC183"/>
      <c r="BD183"/>
      <c r="BE183"/>
    </row>
    <row r="184" spans="2:57" ht="27" customHeight="1" x14ac:dyDescent="0.2">
      <c r="B184" s="332">
        <f t="shared" si="30"/>
        <v>23</v>
      </c>
      <c r="C184" s="381" t="s">
        <v>51</v>
      </c>
      <c r="D184" s="381" t="s">
        <v>44</v>
      </c>
      <c r="E184" s="374">
        <v>249</v>
      </c>
      <c r="F184" s="351">
        <v>1.708</v>
      </c>
      <c r="G184" s="286">
        <v>248.7</v>
      </c>
      <c r="H184" s="286">
        <v>1.708</v>
      </c>
      <c r="I184" s="746">
        <v>247.45</v>
      </c>
      <c r="J184" s="775">
        <v>1.36</v>
      </c>
      <c r="K184" s="558">
        <v>0</v>
      </c>
      <c r="L184" s="453"/>
      <c r="M184" s="194"/>
      <c r="AB184"/>
      <c r="AC184"/>
      <c r="AD184"/>
      <c r="AE184"/>
      <c r="AF184"/>
      <c r="AG184"/>
      <c r="AH184"/>
      <c r="AI184"/>
      <c r="AJ184"/>
      <c r="AK184"/>
      <c r="AL184"/>
      <c r="AM184"/>
      <c r="AN184"/>
      <c r="AO184"/>
      <c r="AP184" s="301"/>
      <c r="AQ184" s="313">
        <f t="shared" si="27"/>
        <v>115</v>
      </c>
      <c r="AR184">
        <f t="shared" si="29"/>
        <v>0</v>
      </c>
      <c r="AS184">
        <f t="shared" si="28"/>
        <v>0</v>
      </c>
      <c r="AT184"/>
      <c r="AU184"/>
      <c r="AV184"/>
      <c r="AW184"/>
      <c r="AX184"/>
      <c r="AY184"/>
      <c r="AZ184"/>
      <c r="BA184"/>
      <c r="BB184"/>
      <c r="BC184"/>
      <c r="BD184"/>
      <c r="BE184"/>
    </row>
    <row r="185" spans="2:57" ht="27" customHeight="1" x14ac:dyDescent="0.2">
      <c r="B185" s="332">
        <f t="shared" si="30"/>
        <v>24</v>
      </c>
      <c r="C185" s="381" t="s">
        <v>52</v>
      </c>
      <c r="D185" s="381" t="s">
        <v>82</v>
      </c>
      <c r="E185" s="374">
        <v>164.75</v>
      </c>
      <c r="F185" s="374">
        <v>4.3979999999999997</v>
      </c>
      <c r="G185" s="286">
        <v>140</v>
      </c>
      <c r="H185" s="286">
        <v>0</v>
      </c>
      <c r="I185" s="373">
        <v>140</v>
      </c>
      <c r="J185" s="775">
        <v>0</v>
      </c>
      <c r="K185" s="558">
        <v>0</v>
      </c>
      <c r="L185" s="453"/>
      <c r="M185" s="194"/>
      <c r="AB185"/>
      <c r="AC185"/>
      <c r="AD185"/>
      <c r="AE185"/>
      <c r="AF185"/>
      <c r="AG185"/>
      <c r="AH185"/>
      <c r="AI185"/>
      <c r="AJ185"/>
      <c r="AK185"/>
      <c r="AL185"/>
      <c r="AM185"/>
      <c r="AN185"/>
      <c r="AO185"/>
      <c r="AP185" s="301"/>
      <c r="AQ185" s="313">
        <f t="shared" si="27"/>
        <v>116</v>
      </c>
      <c r="AR185">
        <f t="shared" si="29"/>
        <v>0</v>
      </c>
      <c r="AS185">
        <f t="shared" si="28"/>
        <v>0</v>
      </c>
      <c r="AT185"/>
      <c r="AU185"/>
      <c r="AV185"/>
      <c r="AW185"/>
      <c r="AX185"/>
      <c r="AY185"/>
      <c r="AZ185"/>
      <c r="BA185"/>
      <c r="BB185"/>
      <c r="BC185"/>
      <c r="BD185"/>
      <c r="BE185"/>
    </row>
    <row r="186" spans="2:57" ht="27" customHeight="1" x14ac:dyDescent="0.2">
      <c r="B186" s="332">
        <f t="shared" si="30"/>
        <v>25</v>
      </c>
      <c r="C186" s="381" t="s">
        <v>53</v>
      </c>
      <c r="D186" s="381" t="s">
        <v>82</v>
      </c>
      <c r="E186" s="374">
        <v>179.1</v>
      </c>
      <c r="F186" s="351">
        <v>3.3109999999999999</v>
      </c>
      <c r="G186" s="287">
        <v>204.56</v>
      </c>
      <c r="H186" s="287">
        <v>3.052</v>
      </c>
      <c r="I186" s="373">
        <v>204.33</v>
      </c>
      <c r="J186" s="774">
        <v>2.91</v>
      </c>
      <c r="K186" s="558">
        <v>0</v>
      </c>
      <c r="L186" s="452"/>
      <c r="M186" s="194"/>
      <c r="AB186"/>
      <c r="AC186"/>
      <c r="AD186"/>
      <c r="AE186"/>
      <c r="AF186"/>
      <c r="AG186"/>
      <c r="AH186"/>
      <c r="AI186"/>
      <c r="AJ186"/>
      <c r="AK186"/>
      <c r="AL186"/>
      <c r="AM186"/>
      <c r="AN186"/>
      <c r="AO186"/>
      <c r="AP186" s="301"/>
      <c r="AQ186" s="313">
        <f t="shared" si="27"/>
        <v>117</v>
      </c>
      <c r="AR186">
        <f t="shared" si="29"/>
        <v>0</v>
      </c>
      <c r="AS186">
        <f t="shared" si="28"/>
        <v>0</v>
      </c>
      <c r="AT186"/>
      <c r="AU186"/>
      <c r="AV186"/>
      <c r="AW186"/>
      <c r="AX186"/>
      <c r="AY186"/>
      <c r="AZ186"/>
      <c r="BA186"/>
      <c r="BB186"/>
      <c r="BC186"/>
      <c r="BD186"/>
      <c r="BE186"/>
    </row>
    <row r="187" spans="2:57" ht="27" customHeight="1" x14ac:dyDescent="0.2">
      <c r="B187" s="332">
        <f t="shared" si="30"/>
        <v>26</v>
      </c>
      <c r="C187" s="381" t="s">
        <v>54</v>
      </c>
      <c r="D187" s="381" t="s">
        <v>83</v>
      </c>
      <c r="E187" s="374">
        <v>325.56</v>
      </c>
      <c r="F187" s="351">
        <v>0.64100000000000001</v>
      </c>
      <c r="G187" s="287">
        <v>325.5</v>
      </c>
      <c r="H187" s="287">
        <v>0.69599999999999995</v>
      </c>
      <c r="I187" s="746">
        <v>325.19</v>
      </c>
      <c r="J187" s="775">
        <v>0.67</v>
      </c>
      <c r="K187" s="558">
        <v>0</v>
      </c>
      <c r="L187" s="453"/>
      <c r="M187" s="194"/>
      <c r="AB187"/>
      <c r="AC187"/>
      <c r="AD187"/>
      <c r="AE187"/>
      <c r="AF187"/>
      <c r="AG187"/>
      <c r="AH187"/>
      <c r="AI187"/>
      <c r="AJ187"/>
      <c r="AK187"/>
      <c r="AL187"/>
      <c r="AM187"/>
      <c r="AN187"/>
      <c r="AO187"/>
      <c r="AP187" s="301"/>
      <c r="AQ187" s="313">
        <f t="shared" si="27"/>
        <v>118</v>
      </c>
      <c r="AR187">
        <f t="shared" si="29"/>
        <v>0</v>
      </c>
      <c r="AS187">
        <f t="shared" si="28"/>
        <v>0</v>
      </c>
      <c r="AT187"/>
      <c r="AU187"/>
      <c r="AV187"/>
      <c r="AW187"/>
      <c r="AX187"/>
      <c r="AY187"/>
      <c r="AZ187"/>
      <c r="BA187"/>
      <c r="BB187"/>
      <c r="BC187"/>
      <c r="BD187"/>
      <c r="BE187"/>
    </row>
    <row r="188" spans="2:57" ht="27" customHeight="1" x14ac:dyDescent="0.2">
      <c r="B188" s="332">
        <f t="shared" si="30"/>
        <v>27</v>
      </c>
      <c r="C188" s="381" t="s">
        <v>55</v>
      </c>
      <c r="D188" s="381" t="s">
        <v>83</v>
      </c>
      <c r="E188" s="374">
        <v>129.19999999999999</v>
      </c>
      <c r="F188" s="351">
        <v>0.71</v>
      </c>
      <c r="G188" s="286">
        <v>129.19999999999999</v>
      </c>
      <c r="H188" s="286">
        <v>0.71</v>
      </c>
      <c r="I188" s="746">
        <v>128.81</v>
      </c>
      <c r="J188" s="774">
        <v>0.65700000000000003</v>
      </c>
      <c r="K188" s="558">
        <v>0</v>
      </c>
      <c r="L188" s="452"/>
      <c r="M188" s="194"/>
      <c r="AB188"/>
      <c r="AC188"/>
      <c r="AD188"/>
      <c r="AE188"/>
      <c r="AF188"/>
      <c r="AG188"/>
      <c r="AH188"/>
      <c r="AI188"/>
      <c r="AJ188"/>
      <c r="AK188"/>
      <c r="AL188"/>
      <c r="AM188"/>
      <c r="AN188"/>
      <c r="AO188"/>
      <c r="AP188" s="301"/>
      <c r="AQ188" s="313">
        <f t="shared" si="27"/>
        <v>119</v>
      </c>
      <c r="AR188">
        <f t="shared" si="29"/>
        <v>0</v>
      </c>
      <c r="AS188">
        <f t="shared" si="28"/>
        <v>0</v>
      </c>
      <c r="AT188"/>
      <c r="AU188"/>
      <c r="AV188"/>
      <c r="AW188"/>
      <c r="AX188"/>
      <c r="AY188"/>
      <c r="AZ188"/>
      <c r="BA188"/>
      <c r="BB188"/>
      <c r="BC188"/>
      <c r="BD188"/>
      <c r="BE188"/>
    </row>
    <row r="189" spans="2:57" ht="27" customHeight="1" x14ac:dyDescent="0.2">
      <c r="B189" s="332">
        <f t="shared" si="30"/>
        <v>28</v>
      </c>
      <c r="C189" s="381" t="s">
        <v>56</v>
      </c>
      <c r="D189" s="381" t="s">
        <v>83</v>
      </c>
      <c r="E189" s="374">
        <v>282.77999999999997</v>
      </c>
      <c r="F189" s="351">
        <v>0.48</v>
      </c>
      <c r="G189" s="286">
        <v>282.95999999999998</v>
      </c>
      <c r="H189" s="286">
        <v>0.48</v>
      </c>
      <c r="I189" s="373">
        <v>283.05</v>
      </c>
      <c r="J189" s="774">
        <v>0.49</v>
      </c>
      <c r="K189" s="558">
        <v>0</v>
      </c>
      <c r="L189" s="452"/>
      <c r="M189" s="194"/>
      <c r="AB189"/>
      <c r="AC189"/>
      <c r="AD189"/>
      <c r="AE189"/>
      <c r="AF189"/>
      <c r="AG189"/>
      <c r="AH189"/>
      <c r="AI189"/>
      <c r="AJ189"/>
      <c r="AK189"/>
      <c r="AL189"/>
      <c r="AM189"/>
      <c r="AN189"/>
      <c r="AO189"/>
      <c r="AP189" s="301"/>
      <c r="AQ189" s="313">
        <f t="shared" si="27"/>
        <v>120</v>
      </c>
      <c r="AR189">
        <f t="shared" si="29"/>
        <v>0</v>
      </c>
      <c r="AS189">
        <f t="shared" si="28"/>
        <v>0</v>
      </c>
      <c r="AT189"/>
      <c r="AU189"/>
      <c r="AV189"/>
      <c r="AW189"/>
      <c r="AX189"/>
      <c r="AY189"/>
      <c r="AZ189"/>
      <c r="BA189"/>
      <c r="BB189"/>
      <c r="BC189"/>
      <c r="BD189"/>
      <c r="BE189"/>
    </row>
    <row r="190" spans="2:57" ht="27" customHeight="1" x14ac:dyDescent="0.2">
      <c r="B190" s="332">
        <f t="shared" si="30"/>
        <v>29</v>
      </c>
      <c r="C190" s="381" t="s">
        <v>57</v>
      </c>
      <c r="D190" s="381" t="s">
        <v>83</v>
      </c>
      <c r="E190" s="374">
        <v>99</v>
      </c>
      <c r="F190" s="351">
        <v>2.8849999999999998</v>
      </c>
      <c r="G190" s="286">
        <v>98.85</v>
      </c>
      <c r="H190" s="286">
        <v>2.7770000000000001</v>
      </c>
      <c r="I190" s="746">
        <v>98.93</v>
      </c>
      <c r="J190" s="775">
        <v>2.83</v>
      </c>
      <c r="K190" s="558">
        <v>0</v>
      </c>
      <c r="L190" s="453"/>
      <c r="M190" s="194"/>
      <c r="AB190"/>
      <c r="AC190"/>
      <c r="AD190"/>
      <c r="AE190"/>
      <c r="AF190"/>
      <c r="AG190"/>
      <c r="AH190"/>
      <c r="AI190"/>
      <c r="AJ190"/>
      <c r="AK190"/>
      <c r="AL190"/>
      <c r="AM190"/>
      <c r="AN190"/>
      <c r="AO190"/>
      <c r="AP190" s="301"/>
      <c r="AQ190" s="313">
        <f t="shared" si="27"/>
        <v>121</v>
      </c>
      <c r="AR190">
        <f t="shared" si="29"/>
        <v>0</v>
      </c>
      <c r="AS190">
        <f t="shared" si="28"/>
        <v>0</v>
      </c>
      <c r="AT190"/>
      <c r="AU190"/>
      <c r="AV190"/>
      <c r="AW190"/>
      <c r="AX190"/>
      <c r="AY190"/>
      <c r="AZ190"/>
      <c r="BA190"/>
      <c r="BB190"/>
      <c r="BC190"/>
      <c r="BD190"/>
      <c r="BE190"/>
    </row>
    <row r="191" spans="2:57" ht="27" customHeight="1" x14ac:dyDescent="0.2">
      <c r="B191" s="332">
        <f t="shared" si="30"/>
        <v>30</v>
      </c>
      <c r="C191" s="381" t="s">
        <v>58</v>
      </c>
      <c r="D191" s="381" t="s">
        <v>83</v>
      </c>
      <c r="E191" s="374">
        <v>189.7</v>
      </c>
      <c r="F191" s="374">
        <v>7.9000000000000001E-2</v>
      </c>
      <c r="G191" s="286">
        <v>189.7</v>
      </c>
      <c r="H191" s="286">
        <v>0.08</v>
      </c>
      <c r="I191" s="746">
        <v>189.39</v>
      </c>
      <c r="J191" s="775">
        <v>7.0000000000000007E-2</v>
      </c>
      <c r="K191" s="558">
        <v>0</v>
      </c>
      <c r="L191" s="453"/>
      <c r="M191" s="194"/>
      <c r="AB191"/>
      <c r="AC191"/>
      <c r="AD191"/>
      <c r="AE191"/>
      <c r="AF191"/>
      <c r="AG191"/>
      <c r="AH191"/>
      <c r="AI191"/>
      <c r="AJ191"/>
      <c r="AK191"/>
      <c r="AL191"/>
      <c r="AM191"/>
      <c r="AN191"/>
      <c r="AO191"/>
      <c r="AP191" s="301"/>
      <c r="AQ191" s="313">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332">
        <f t="shared" si="30"/>
        <v>31</v>
      </c>
      <c r="C192" s="381" t="s">
        <v>59</v>
      </c>
      <c r="D192" s="381" t="s">
        <v>83</v>
      </c>
      <c r="E192" s="374">
        <v>171.19</v>
      </c>
      <c r="F192" s="351">
        <v>9.6000000000000002E-2</v>
      </c>
      <c r="G192" s="286">
        <v>171.2</v>
      </c>
      <c r="H192" s="333">
        <v>9.7000000000000003E-2</v>
      </c>
      <c r="I192" s="746">
        <v>171.2</v>
      </c>
      <c r="J192" s="775">
        <v>0.1</v>
      </c>
      <c r="K192" s="558">
        <v>0</v>
      </c>
      <c r="L192" s="453"/>
      <c r="M192" s="194"/>
      <c r="AB192"/>
      <c r="AC192"/>
      <c r="AD192"/>
      <c r="AE192"/>
      <c r="AF192"/>
      <c r="AG192"/>
      <c r="AH192"/>
      <c r="AI192"/>
      <c r="AJ192"/>
      <c r="AK192"/>
      <c r="AL192"/>
      <c r="AM192"/>
      <c r="AN192"/>
      <c r="AO192"/>
      <c r="AP192" s="301"/>
      <c r="AQ192" s="313">
        <f t="shared" si="27"/>
        <v>123</v>
      </c>
      <c r="AR192">
        <f t="shared" si="31"/>
        <v>0</v>
      </c>
      <c r="AS192">
        <f t="shared" si="28"/>
        <v>0</v>
      </c>
      <c r="AT192"/>
      <c r="AU192"/>
      <c r="AV192"/>
      <c r="AW192"/>
      <c r="AX192"/>
      <c r="AY192"/>
      <c r="AZ192"/>
      <c r="BA192"/>
      <c r="BB192"/>
      <c r="BC192"/>
      <c r="BD192"/>
      <c r="BE192"/>
    </row>
    <row r="193" spans="2:57" ht="27" customHeight="1" x14ac:dyDescent="0.2">
      <c r="B193" s="332">
        <f t="shared" si="30"/>
        <v>32</v>
      </c>
      <c r="C193" s="381" t="s">
        <v>60</v>
      </c>
      <c r="D193" s="381" t="s">
        <v>84</v>
      </c>
      <c r="E193" s="374">
        <v>142.6</v>
      </c>
      <c r="F193" s="351">
        <v>9.8740000000000006</v>
      </c>
      <c r="G193" s="286">
        <v>140.30000000000001</v>
      </c>
      <c r="H193" s="286">
        <v>9.1560000000000006</v>
      </c>
      <c r="I193" s="373">
        <v>139.43</v>
      </c>
      <c r="J193" s="777">
        <v>6.73</v>
      </c>
      <c r="K193" s="558">
        <v>0</v>
      </c>
      <c r="L193" s="454"/>
      <c r="M193" s="194"/>
      <c r="AB193"/>
      <c r="AC193"/>
      <c r="AD193"/>
      <c r="AE193"/>
      <c r="AF193"/>
      <c r="AG193"/>
      <c r="AH193"/>
      <c r="AI193"/>
      <c r="AJ193"/>
      <c r="AK193"/>
      <c r="AL193"/>
      <c r="AM193"/>
      <c r="AN193"/>
      <c r="AO193"/>
      <c r="AP193" s="301"/>
      <c r="AQ193" s="313">
        <f t="shared" si="27"/>
        <v>124</v>
      </c>
      <c r="AR193">
        <f t="shared" si="31"/>
        <v>0</v>
      </c>
      <c r="AS193">
        <f t="shared" si="28"/>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239.7</v>
      </c>
      <c r="H194" s="333">
        <v>2.8559999999999999</v>
      </c>
      <c r="I194" s="373">
        <v>239.07</v>
      </c>
      <c r="J194" s="777">
        <v>2.4500000000000002</v>
      </c>
      <c r="K194" s="558">
        <v>0</v>
      </c>
      <c r="L194" s="454"/>
      <c r="M194" s="194"/>
      <c r="AB194"/>
      <c r="AC194"/>
      <c r="AD194"/>
      <c r="AE194"/>
      <c r="AF194"/>
      <c r="AG194"/>
      <c r="AH194"/>
      <c r="AI194"/>
      <c r="AJ194"/>
      <c r="AK194"/>
      <c r="AL194"/>
      <c r="AM194"/>
      <c r="AN194"/>
      <c r="AO194"/>
      <c r="AP194" s="301"/>
      <c r="AQ194" s="313">
        <f t="shared" si="27"/>
        <v>125</v>
      </c>
      <c r="AR194">
        <f t="shared" si="31"/>
        <v>0</v>
      </c>
      <c r="AS194">
        <f t="shared" si="28"/>
        <v>0</v>
      </c>
      <c r="AT194"/>
      <c r="AU194"/>
      <c r="AV194"/>
      <c r="AW194"/>
      <c r="AX194"/>
      <c r="AY194"/>
      <c r="AZ194"/>
      <c r="BA194"/>
      <c r="BB194"/>
      <c r="BC194"/>
      <c r="BD194"/>
      <c r="BE194"/>
    </row>
    <row r="195" spans="2:57" ht="27" customHeight="1" x14ac:dyDescent="0.2">
      <c r="B195" s="332">
        <f t="shared" si="30"/>
        <v>34</v>
      </c>
      <c r="C195" s="381" t="s">
        <v>62</v>
      </c>
      <c r="D195" s="381" t="s">
        <v>85</v>
      </c>
      <c r="E195" s="374">
        <v>120.5</v>
      </c>
      <c r="F195" s="351">
        <v>4.1539999999999999</v>
      </c>
      <c r="G195" s="286">
        <v>120.75</v>
      </c>
      <c r="H195" s="286">
        <v>4.1539999999999999</v>
      </c>
      <c r="I195" s="373">
        <v>120.55</v>
      </c>
      <c r="J195" s="774">
        <v>3.77</v>
      </c>
      <c r="K195" s="558">
        <v>0</v>
      </c>
      <c r="L195" s="452"/>
      <c r="M195" s="194"/>
      <c r="AB195"/>
      <c r="AC195"/>
      <c r="AD195"/>
      <c r="AE195"/>
      <c r="AF195"/>
      <c r="AG195"/>
      <c r="AH195"/>
      <c r="AI195"/>
      <c r="AJ195"/>
      <c r="AK195"/>
      <c r="AL195"/>
      <c r="AM195"/>
      <c r="AN195"/>
      <c r="AO195"/>
      <c r="AP195" s="301"/>
      <c r="AQ195" s="313">
        <f t="shared" si="27"/>
        <v>126</v>
      </c>
      <c r="AR195">
        <f t="shared" si="31"/>
        <v>0</v>
      </c>
      <c r="AS195">
        <f t="shared" si="28"/>
        <v>0</v>
      </c>
      <c r="AT195"/>
      <c r="AU195"/>
      <c r="AV195"/>
      <c r="AW195"/>
      <c r="AX195"/>
      <c r="AY195"/>
      <c r="AZ195"/>
      <c r="BA195"/>
      <c r="BB195"/>
      <c r="BC195"/>
      <c r="BD195"/>
      <c r="BE195"/>
    </row>
    <row r="196" spans="2:57" ht="27" customHeight="1" x14ac:dyDescent="0.2">
      <c r="B196" s="332">
        <f t="shared" si="30"/>
        <v>35</v>
      </c>
      <c r="C196" s="381" t="s">
        <v>63</v>
      </c>
      <c r="D196" s="381" t="s">
        <v>86</v>
      </c>
      <c r="E196" s="374">
        <v>110.56</v>
      </c>
      <c r="F196" s="351">
        <v>2.75</v>
      </c>
      <c r="G196" s="286">
        <v>110.36</v>
      </c>
      <c r="H196" s="286">
        <v>2.371</v>
      </c>
      <c r="I196" s="373">
        <v>110.54</v>
      </c>
      <c r="J196" s="774">
        <v>2.71</v>
      </c>
      <c r="K196" s="558">
        <v>0</v>
      </c>
      <c r="L196" s="452"/>
      <c r="M196" s="194"/>
      <c r="AB196"/>
      <c r="AC196"/>
      <c r="AD196"/>
      <c r="AE196"/>
      <c r="AF196"/>
      <c r="AG196"/>
      <c r="AH196"/>
      <c r="AI196"/>
      <c r="AJ196"/>
      <c r="AK196"/>
      <c r="AL196"/>
      <c r="AM196"/>
      <c r="AN196"/>
      <c r="AO196"/>
      <c r="AP196" s="301"/>
      <c r="AQ196" s="313">
        <f t="shared" si="27"/>
        <v>127</v>
      </c>
      <c r="AR196">
        <f t="shared" si="31"/>
        <v>0</v>
      </c>
      <c r="AS196">
        <f t="shared" si="28"/>
        <v>0</v>
      </c>
      <c r="AT196"/>
      <c r="AU196"/>
      <c r="AV196"/>
      <c r="AW196"/>
      <c r="AX196"/>
      <c r="AY196"/>
      <c r="AZ196"/>
      <c r="BA196"/>
      <c r="BB196"/>
      <c r="BC196"/>
      <c r="BD196"/>
      <c r="BE196"/>
    </row>
    <row r="197" spans="2:57" ht="27" customHeight="1" x14ac:dyDescent="0.2">
      <c r="B197" s="332">
        <f t="shared" si="30"/>
        <v>36</v>
      </c>
      <c r="C197" s="381" t="s">
        <v>64</v>
      </c>
      <c r="D197" s="381" t="s">
        <v>87</v>
      </c>
      <c r="E197" s="374">
        <v>72</v>
      </c>
      <c r="F197" s="351">
        <v>38.036000000000001</v>
      </c>
      <c r="G197" s="286">
        <v>66.75</v>
      </c>
      <c r="H197" s="333">
        <v>24.373999999999999</v>
      </c>
      <c r="I197" s="373">
        <v>65.5</v>
      </c>
      <c r="J197" s="777">
        <v>22.044</v>
      </c>
      <c r="K197" s="558">
        <v>0</v>
      </c>
      <c r="L197" s="454"/>
      <c r="M197" s="194"/>
      <c r="AB197"/>
      <c r="AC197"/>
      <c r="AD197"/>
      <c r="AE197"/>
      <c r="AF197"/>
      <c r="AG197"/>
      <c r="AH197"/>
      <c r="AI197"/>
      <c r="AJ197"/>
      <c r="AK197"/>
      <c r="AL197"/>
      <c r="AM197"/>
      <c r="AN197"/>
      <c r="AO197"/>
      <c r="AP197" s="301"/>
      <c r="AQ197" s="313">
        <f t="shared" si="27"/>
        <v>128</v>
      </c>
      <c r="AR197">
        <f t="shared" si="31"/>
        <v>0</v>
      </c>
      <c r="AS197">
        <f t="shared" si="28"/>
        <v>0</v>
      </c>
      <c r="AT197"/>
      <c r="AU197"/>
      <c r="AV197"/>
      <c r="AW197"/>
      <c r="AX197"/>
      <c r="AY197"/>
      <c r="AZ197"/>
      <c r="BA197"/>
      <c r="BB197"/>
      <c r="BC197"/>
      <c r="BD197"/>
      <c r="BE197"/>
    </row>
    <row r="198" spans="2:57" ht="27" customHeight="1" x14ac:dyDescent="0.2">
      <c r="B198" s="332">
        <f t="shared" si="30"/>
        <v>37</v>
      </c>
      <c r="C198" s="381" t="s">
        <v>65</v>
      </c>
      <c r="D198" s="381" t="s">
        <v>87</v>
      </c>
      <c r="E198" s="374">
        <v>185</v>
      </c>
      <c r="F198" s="351">
        <v>388.72199999999998</v>
      </c>
      <c r="G198" s="286">
        <v>170.3</v>
      </c>
      <c r="H198" s="333">
        <v>246.3</v>
      </c>
      <c r="I198" s="748">
        <v>174.95</v>
      </c>
      <c r="J198" s="786">
        <v>289.58999999999997</v>
      </c>
      <c r="K198" s="558">
        <v>0</v>
      </c>
      <c r="L198" s="454"/>
      <c r="M198" s="194"/>
      <c r="AB198"/>
      <c r="AC198"/>
      <c r="AD198"/>
      <c r="AE198"/>
      <c r="AF198"/>
      <c r="AG198"/>
      <c r="AH198"/>
      <c r="AI198"/>
      <c r="AJ198"/>
      <c r="AK198"/>
      <c r="AL198"/>
      <c r="AM198"/>
      <c r="AN198"/>
      <c r="AO198"/>
      <c r="AP198" s="301"/>
      <c r="AQ198" s="313">
        <f t="shared" si="27"/>
        <v>129</v>
      </c>
      <c r="AR198">
        <f t="shared" si="31"/>
        <v>0</v>
      </c>
      <c r="AS198">
        <f t="shared" si="28"/>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v>
      </c>
      <c r="H199" s="333">
        <v>5.181</v>
      </c>
      <c r="I199" s="373">
        <v>229.34</v>
      </c>
      <c r="J199" s="777">
        <v>6.7430000000000003</v>
      </c>
      <c r="K199" s="558">
        <v>0</v>
      </c>
      <c r="L199" s="538"/>
      <c r="AB199"/>
      <c r="AC199"/>
      <c r="AD199"/>
      <c r="AE199"/>
      <c r="AF199"/>
      <c r="AG199"/>
      <c r="AH199"/>
      <c r="AI199"/>
      <c r="AJ199"/>
      <c r="AK199"/>
      <c r="AL199"/>
      <c r="AM199"/>
      <c r="AN199"/>
      <c r="AO199"/>
      <c r="AP199" s="301"/>
      <c r="AQ199" s="313">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330">
        <v>39</v>
      </c>
      <c r="C200" s="331" t="s">
        <v>212</v>
      </c>
      <c r="D200" s="331" t="s">
        <v>76</v>
      </c>
      <c r="E200" s="352">
        <v>149.30000000000001</v>
      </c>
      <c r="F200" s="377">
        <v>17.670000000000002</v>
      </c>
      <c r="G200" s="352">
        <v>146.06</v>
      </c>
      <c r="H200" s="377">
        <v>8.5</v>
      </c>
      <c r="I200" s="352">
        <v>149.54</v>
      </c>
      <c r="J200" s="779">
        <v>11.17</v>
      </c>
      <c r="K200" s="558">
        <v>0</v>
      </c>
      <c r="L200" s="521"/>
      <c r="M200" s="194"/>
      <c r="AB200"/>
      <c r="AC200"/>
      <c r="AD200"/>
      <c r="AE200"/>
      <c r="AF200"/>
      <c r="AG200"/>
      <c r="AH200"/>
      <c r="AI200"/>
      <c r="AJ200"/>
      <c r="AK200"/>
      <c r="AL200"/>
      <c r="AM200"/>
      <c r="AN200"/>
      <c r="AO200"/>
      <c r="AP200" s="301"/>
      <c r="AQ200" s="313">
        <f t="shared" si="32"/>
        <v>131</v>
      </c>
      <c r="AR200">
        <f t="shared" si="31"/>
        <v>0</v>
      </c>
      <c r="AS200">
        <f t="shared" si="33"/>
        <v>0</v>
      </c>
      <c r="AT200"/>
      <c r="AU200"/>
      <c r="AV200"/>
      <c r="AW200"/>
      <c r="AX200"/>
      <c r="AY200"/>
      <c r="AZ200"/>
      <c r="BA200"/>
      <c r="BB200"/>
      <c r="BC200"/>
      <c r="BD200"/>
      <c r="BE200"/>
    </row>
    <row r="201" spans="2:57" ht="27" customHeight="1" x14ac:dyDescent="0.25">
      <c r="B201" s="332">
        <f>+B200+1</f>
        <v>40</v>
      </c>
      <c r="C201" s="381" t="s">
        <v>213</v>
      </c>
      <c r="D201" s="381" t="s">
        <v>80</v>
      </c>
      <c r="E201" s="374">
        <v>39</v>
      </c>
      <c r="F201" s="351">
        <v>0.47399999999999998</v>
      </c>
      <c r="G201" s="374"/>
      <c r="H201" s="351"/>
      <c r="I201" s="749">
        <v>38.75</v>
      </c>
      <c r="J201" s="777">
        <v>0.44400000000000001</v>
      </c>
      <c r="K201" s="558">
        <v>0</v>
      </c>
      <c r="L201" s="521"/>
      <c r="M201" s="194"/>
      <c r="AB201"/>
      <c r="AC201"/>
      <c r="AD201"/>
      <c r="AE201"/>
      <c r="AF201"/>
      <c r="AG201"/>
      <c r="AH201"/>
      <c r="AI201"/>
      <c r="AJ201"/>
      <c r="AK201"/>
      <c r="AL201"/>
      <c r="AM201"/>
      <c r="AN201"/>
      <c r="AO201"/>
      <c r="AP201" s="301"/>
      <c r="AQ201" s="313">
        <f t="shared" si="32"/>
        <v>132</v>
      </c>
      <c r="AR201">
        <f t="shared" si="31"/>
        <v>0</v>
      </c>
      <c r="AS201">
        <f t="shared" si="33"/>
        <v>0</v>
      </c>
      <c r="AT201"/>
      <c r="AU201"/>
      <c r="AV201"/>
      <c r="AW201"/>
      <c r="AX201"/>
      <c r="AY201"/>
      <c r="AZ201"/>
      <c r="BA201"/>
      <c r="BB201"/>
      <c r="BC201"/>
      <c r="BD201"/>
      <c r="BE201"/>
    </row>
    <row r="202" spans="2:57" ht="27" customHeight="1" thickBot="1" x14ac:dyDescent="0.3">
      <c r="B202" s="334">
        <v>41</v>
      </c>
      <c r="C202" s="335" t="s">
        <v>214</v>
      </c>
      <c r="D202" s="335" t="s">
        <v>80</v>
      </c>
      <c r="E202" s="382">
        <v>70</v>
      </c>
      <c r="F202" s="353">
        <v>0.81699999999999995</v>
      </c>
      <c r="G202" s="382"/>
      <c r="H202" s="353"/>
      <c r="I202" s="744">
        <v>70.05</v>
      </c>
      <c r="J202" s="777">
        <v>0.753</v>
      </c>
      <c r="K202" s="558">
        <v>0</v>
      </c>
      <c r="L202" s="521"/>
      <c r="M202" s="194"/>
      <c r="AB202"/>
      <c r="AC202"/>
      <c r="AD202"/>
      <c r="AE202"/>
      <c r="AF202"/>
      <c r="AG202"/>
      <c r="AH202"/>
      <c r="AI202"/>
      <c r="AJ202"/>
      <c r="AK202"/>
      <c r="AL202"/>
      <c r="AM202"/>
      <c r="AN202"/>
      <c r="AO202"/>
      <c r="AP202" s="301"/>
      <c r="AQ202" s="313">
        <f t="shared" si="32"/>
        <v>133</v>
      </c>
      <c r="AR202">
        <f t="shared" si="31"/>
        <v>0</v>
      </c>
      <c r="AS202">
        <f t="shared" si="33"/>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1047.3910000000001</v>
      </c>
      <c r="I203" s="751"/>
      <c r="J203" s="752">
        <f>SUM(J162:J202)</f>
        <v>1305.5820000000001</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53"/>
      <c r="J204" s="754">
        <f>IFERROR(+J203/H203,0)</f>
        <v>1.2465087059178472</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216</v>
      </c>
      <c r="D205" s="339"/>
      <c r="E205" s="422">
        <v>1736.79</v>
      </c>
      <c r="F205" s="360">
        <v>1</v>
      </c>
      <c r="G205" s="361" t="s">
        <v>68</v>
      </c>
      <c r="H205" s="385">
        <f>+H203/F203*100%</f>
        <v>0.57868229757153811</v>
      </c>
      <c r="I205" s="753"/>
      <c r="J205" s="755">
        <f>+J203/F203</f>
        <v>0.72133252188346464</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217</v>
      </c>
      <c r="D206" s="339"/>
      <c r="E206" s="378">
        <f>F203-E205</f>
        <v>73.168598000000202</v>
      </c>
      <c r="F206" s="552"/>
      <c r="G206" s="553"/>
      <c r="H206" s="552"/>
      <c r="I206" s="756"/>
      <c r="J206" s="757"/>
      <c r="K206" s="554"/>
      <c r="L206" s="349"/>
      <c r="M206" s="194"/>
      <c r="AB206"/>
      <c r="AC206"/>
      <c r="AD206"/>
      <c r="AE206"/>
      <c r="AF206"/>
      <c r="AG206"/>
      <c r="AH206"/>
      <c r="AI206"/>
      <c r="AJ206"/>
      <c r="AK206"/>
      <c r="AL206"/>
      <c r="AM206"/>
      <c r="AN206"/>
      <c r="AO206"/>
      <c r="AP206" s="301"/>
      <c r="AQ206" s="313">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327"/>
      <c r="C207" s="289"/>
      <c r="D207" s="289"/>
      <c r="E207" s="289"/>
      <c r="F207" s="569">
        <v>24</v>
      </c>
      <c r="G207" s="620" t="s">
        <v>258</v>
      </c>
      <c r="H207" s="569">
        <v>2022</v>
      </c>
      <c r="I207" s="758"/>
      <c r="J207" s="758"/>
      <c r="K207" s="344"/>
      <c r="L207" s="349"/>
      <c r="M207" s="194"/>
      <c r="AB207"/>
      <c r="AC207"/>
      <c r="AD207"/>
      <c r="AE207"/>
      <c r="AF207"/>
      <c r="AG207"/>
      <c r="AH207"/>
      <c r="AI207"/>
      <c r="AJ207"/>
      <c r="AK207"/>
      <c r="AL207"/>
      <c r="AM207"/>
      <c r="AN207"/>
      <c r="AO207"/>
      <c r="AP207" s="301"/>
      <c r="AQ207" s="313">
        <f t="shared" si="32"/>
        <v>135</v>
      </c>
      <c r="AR207">
        <f t="shared" si="34"/>
        <v>0</v>
      </c>
      <c r="AS207">
        <f t="shared" si="33"/>
        <v>0</v>
      </c>
      <c r="AT207"/>
      <c r="AU207"/>
      <c r="AV207"/>
      <c r="AW207"/>
      <c r="AX207"/>
      <c r="AY207"/>
      <c r="AZ207"/>
      <c r="BA207"/>
      <c r="BB207"/>
      <c r="BC207"/>
      <c r="BD207"/>
      <c r="BE207"/>
    </row>
    <row r="208" spans="2:57" ht="27" customHeight="1" x14ac:dyDescent="0.2">
      <c r="B208" s="426" t="s">
        <v>18</v>
      </c>
      <c r="C208" s="429" t="s">
        <v>19</v>
      </c>
      <c r="D208" s="429" t="s">
        <v>73</v>
      </c>
      <c r="E208" s="915" t="s">
        <v>20</v>
      </c>
      <c r="F208" s="916"/>
      <c r="G208" s="915" t="s">
        <v>94</v>
      </c>
      <c r="H208" s="916"/>
      <c r="I208" s="917" t="s">
        <v>22</v>
      </c>
      <c r="J208" s="918"/>
      <c r="K208" s="423" t="s">
        <v>160</v>
      </c>
      <c r="L208" s="349"/>
      <c r="M208" s="194"/>
      <c r="AB208"/>
      <c r="AC208"/>
      <c r="AD208"/>
      <c r="AE208"/>
      <c r="AF208"/>
      <c r="AG208"/>
      <c r="AH208"/>
      <c r="AI208"/>
      <c r="AJ208"/>
      <c r="AK208"/>
      <c r="AL208"/>
      <c r="AM208"/>
      <c r="AN208"/>
      <c r="AO208"/>
      <c r="AP208" s="301"/>
      <c r="AQ208" s="313">
        <f t="shared" si="32"/>
        <v>136</v>
      </c>
      <c r="AR208">
        <f t="shared" si="34"/>
        <v>0</v>
      </c>
      <c r="AS208">
        <f t="shared" si="33"/>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59" t="s">
        <v>24</v>
      </c>
      <c r="J209" s="760" t="s">
        <v>25</v>
      </c>
      <c r="K209" s="424"/>
      <c r="L209" s="349"/>
      <c r="M209" s="194"/>
      <c r="AB209"/>
      <c r="AC209"/>
      <c r="AD209"/>
      <c r="AE209"/>
      <c r="AF209"/>
      <c r="AG209"/>
      <c r="AH209"/>
      <c r="AI209"/>
      <c r="AJ209"/>
      <c r="AK209"/>
      <c r="AL209"/>
      <c r="AM209"/>
      <c r="AN209"/>
      <c r="AO209"/>
      <c r="AP209" s="301"/>
      <c r="AQ209" s="313">
        <f t="shared" si="32"/>
        <v>137</v>
      </c>
      <c r="AR209">
        <f t="shared" si="34"/>
        <v>0</v>
      </c>
      <c r="AS209">
        <f t="shared" si="33"/>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61" t="s">
        <v>26</v>
      </c>
      <c r="J210" s="762" t="s">
        <v>155</v>
      </c>
      <c r="K210" s="425"/>
      <c r="L210" s="349"/>
      <c r="M210" s="194"/>
      <c r="AB210"/>
      <c r="AC210"/>
      <c r="AD210"/>
      <c r="AE210"/>
      <c r="AF210"/>
      <c r="AG210"/>
      <c r="AH210"/>
      <c r="AI210"/>
      <c r="AJ210"/>
      <c r="AK210"/>
      <c r="AL210"/>
      <c r="AM210"/>
      <c r="AN210"/>
      <c r="AO210"/>
      <c r="AP210" s="301"/>
      <c r="AQ210" s="313">
        <f t="shared" si="32"/>
        <v>138</v>
      </c>
      <c r="AR210">
        <f t="shared" si="34"/>
        <v>0</v>
      </c>
      <c r="AS210">
        <f t="shared" si="33"/>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63">
        <v>8</v>
      </c>
      <c r="J211" s="763">
        <v>9</v>
      </c>
      <c r="K211" s="347">
        <v>10</v>
      </c>
      <c r="L211" s="349"/>
      <c r="M211" s="194"/>
      <c r="AB211"/>
      <c r="AC211"/>
      <c r="AD211"/>
      <c r="AE211"/>
      <c r="AF211"/>
      <c r="AG211"/>
      <c r="AH211"/>
      <c r="AI211"/>
      <c r="AJ211"/>
      <c r="AK211"/>
      <c r="AL211"/>
      <c r="AM211"/>
      <c r="AN211"/>
      <c r="AO211"/>
      <c r="AP211" s="301"/>
      <c r="AQ211" s="313">
        <f t="shared" si="32"/>
        <v>139</v>
      </c>
      <c r="AR211">
        <f t="shared" si="34"/>
        <v>0</v>
      </c>
      <c r="AS211">
        <f t="shared" si="33"/>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55.73</v>
      </c>
      <c r="H212" s="285">
        <v>30.89</v>
      </c>
      <c r="I212" s="764">
        <v>55.36</v>
      </c>
      <c r="J212" s="764">
        <v>28.797999999999998</v>
      </c>
      <c r="K212" s="558"/>
      <c r="L212" s="541"/>
      <c r="M212" s="446"/>
      <c r="AB212"/>
      <c r="AC212"/>
      <c r="AD212"/>
      <c r="AE212"/>
      <c r="AF212"/>
      <c r="AG212"/>
      <c r="AH212"/>
      <c r="AI212"/>
      <c r="AJ212"/>
      <c r="AK212"/>
      <c r="AL212"/>
      <c r="AM212"/>
      <c r="AN212"/>
      <c r="AO212"/>
      <c r="AP212" s="301"/>
      <c r="AQ212" s="313">
        <f t="shared" si="32"/>
        <v>140</v>
      </c>
      <c r="AR212">
        <f t="shared" si="34"/>
        <v>0</v>
      </c>
      <c r="AS212">
        <f t="shared" si="33"/>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338.7</v>
      </c>
      <c r="H213" s="333">
        <v>7.0949999999999998</v>
      </c>
      <c r="I213" s="373">
        <v>339.11</v>
      </c>
      <c r="J213" s="771">
        <v>7.4420000000000002</v>
      </c>
      <c r="K213" s="558"/>
      <c r="L213" s="542"/>
      <c r="M213" s="447"/>
      <c r="AB213"/>
      <c r="AC213"/>
      <c r="AD213"/>
      <c r="AE213"/>
      <c r="AF213"/>
      <c r="AG213"/>
      <c r="AH213"/>
      <c r="AI213"/>
      <c r="AJ213"/>
      <c r="AK213"/>
      <c r="AL213"/>
      <c r="AM213"/>
      <c r="AN213"/>
      <c r="AO213"/>
      <c r="AP213" s="301"/>
      <c r="AQ213" s="313">
        <f t="shared" si="32"/>
        <v>141</v>
      </c>
      <c r="AR213">
        <f t="shared" si="34"/>
        <v>0</v>
      </c>
      <c r="AS213">
        <f t="shared" si="33"/>
        <v>0</v>
      </c>
      <c r="AT213"/>
      <c r="AU213"/>
      <c r="AV213"/>
      <c r="AW213"/>
      <c r="AX213"/>
      <c r="AY213"/>
      <c r="AZ213"/>
      <c r="BA213"/>
      <c r="BB213"/>
      <c r="BC213"/>
      <c r="BD213"/>
      <c r="BE213"/>
    </row>
    <row r="214" spans="2:57" ht="27" customHeight="1" x14ac:dyDescent="0.2">
      <c r="B214" s="332">
        <f t="shared" ref="B214:B248" si="35">+B213+1</f>
        <v>3</v>
      </c>
      <c r="C214" s="381" t="s">
        <v>30</v>
      </c>
      <c r="D214" s="381" t="s">
        <v>75</v>
      </c>
      <c r="E214" s="374">
        <v>77.5</v>
      </c>
      <c r="F214" s="351">
        <v>49.02</v>
      </c>
      <c r="G214" s="286">
        <v>74.11</v>
      </c>
      <c r="H214" s="333">
        <v>29.640999999999998</v>
      </c>
      <c r="I214" s="373">
        <v>77.540000000000006</v>
      </c>
      <c r="J214" s="771">
        <v>49.281999999999996</v>
      </c>
      <c r="K214" s="558"/>
      <c r="L214" s="542"/>
      <c r="M214" s="447"/>
      <c r="AB214"/>
      <c r="AC214"/>
      <c r="AD214"/>
      <c r="AE214"/>
      <c r="AF214"/>
      <c r="AG214"/>
      <c r="AH214"/>
      <c r="AI214"/>
      <c r="AJ214"/>
      <c r="AK214"/>
      <c r="AL214"/>
      <c r="AM214"/>
      <c r="AN214"/>
      <c r="AO214"/>
      <c r="AP214" s="301"/>
      <c r="AQ214" s="313">
        <f t="shared" si="32"/>
        <v>142</v>
      </c>
      <c r="AR214">
        <f t="shared" si="34"/>
        <v>0</v>
      </c>
      <c r="AS214">
        <f t="shared" si="33"/>
        <v>0</v>
      </c>
      <c r="AT214"/>
      <c r="AU214"/>
      <c r="AV214"/>
      <c r="AW214"/>
      <c r="AX214"/>
      <c r="AY214"/>
      <c r="AZ214"/>
      <c r="BA214"/>
      <c r="BB214"/>
      <c r="BC214"/>
      <c r="BD214"/>
      <c r="BE214"/>
    </row>
    <row r="215" spans="2:57" ht="27" customHeight="1" x14ac:dyDescent="0.3">
      <c r="B215" s="332">
        <f t="shared" si="35"/>
        <v>4</v>
      </c>
      <c r="C215" s="381" t="s">
        <v>31</v>
      </c>
      <c r="D215" s="381" t="s">
        <v>76</v>
      </c>
      <c r="E215" s="374">
        <v>463.3</v>
      </c>
      <c r="F215" s="351">
        <v>49.9</v>
      </c>
      <c r="G215" s="373">
        <v>462.39</v>
      </c>
      <c r="H215" s="373">
        <v>35.720999999999997</v>
      </c>
      <c r="I215" s="351">
        <v>462.58</v>
      </c>
      <c r="J215" s="771">
        <v>39.35</v>
      </c>
      <c r="K215" s="558"/>
      <c r="L215" s="543"/>
      <c r="M215" s="446"/>
      <c r="N215" s="436"/>
      <c r="AB215"/>
      <c r="AC215"/>
      <c r="AD215"/>
      <c r="AE215"/>
      <c r="AF215"/>
      <c r="AG215"/>
      <c r="AH215"/>
      <c r="AI215"/>
      <c r="AJ215"/>
      <c r="AK215"/>
      <c r="AL215"/>
      <c r="AM215"/>
      <c r="AN215"/>
      <c r="AO215"/>
      <c r="AP215" s="301"/>
      <c r="AQ215" s="313">
        <f t="shared" si="32"/>
        <v>143</v>
      </c>
      <c r="AR215">
        <f t="shared" si="34"/>
        <v>0</v>
      </c>
      <c r="AS215">
        <f t="shared" si="33"/>
        <v>0</v>
      </c>
      <c r="AT215"/>
      <c r="AU215"/>
      <c r="AV215"/>
      <c r="AW215"/>
      <c r="AX215"/>
      <c r="AY215"/>
      <c r="AZ215"/>
      <c r="BA215"/>
      <c r="BB215"/>
      <c r="BC215"/>
      <c r="BD215"/>
      <c r="BE215"/>
    </row>
    <row r="216" spans="2:57" ht="27" customHeight="1" x14ac:dyDescent="0.25">
      <c r="B216" s="332">
        <f t="shared" si="35"/>
        <v>5</v>
      </c>
      <c r="C216" s="381" t="s">
        <v>32</v>
      </c>
      <c r="D216" s="381" t="s">
        <v>77</v>
      </c>
      <c r="E216" s="374">
        <v>207</v>
      </c>
      <c r="F216" s="351">
        <v>9.5030000000000001</v>
      </c>
      <c r="G216" s="286">
        <v>205.3</v>
      </c>
      <c r="H216" s="287">
        <v>7.3540000000000001</v>
      </c>
      <c r="I216" s="744">
        <v>206.3</v>
      </c>
      <c r="J216" s="771">
        <v>8.67</v>
      </c>
      <c r="K216" s="558"/>
      <c r="L216" s="544"/>
      <c r="M216" s="446"/>
      <c r="AB216"/>
      <c r="AC216"/>
      <c r="AD216"/>
      <c r="AE216"/>
      <c r="AF216"/>
      <c r="AG216"/>
      <c r="AH216"/>
      <c r="AI216"/>
      <c r="AJ216"/>
      <c r="AK216"/>
      <c r="AL216"/>
      <c r="AM216"/>
      <c r="AN216"/>
      <c r="AO216"/>
      <c r="AP216" s="301"/>
      <c r="AQ216" s="313">
        <f t="shared" si="32"/>
        <v>144</v>
      </c>
      <c r="AR216">
        <f t="shared" si="34"/>
        <v>0</v>
      </c>
      <c r="AS216">
        <f t="shared" si="33"/>
        <v>0</v>
      </c>
      <c r="AT216"/>
      <c r="AU216"/>
      <c r="AV216"/>
      <c r="AW216"/>
      <c r="AX216"/>
      <c r="AY216"/>
      <c r="AZ216"/>
      <c r="BA216"/>
      <c r="BB216"/>
      <c r="BC216"/>
      <c r="BD216"/>
      <c r="BE216"/>
    </row>
    <row r="217" spans="2:57" ht="27" customHeight="1" x14ac:dyDescent="0.25">
      <c r="B217" s="332">
        <f t="shared" si="35"/>
        <v>6</v>
      </c>
      <c r="C217" s="381" t="s">
        <v>33</v>
      </c>
      <c r="D217" s="381" t="s">
        <v>77</v>
      </c>
      <c r="E217" s="374">
        <v>320</v>
      </c>
      <c r="F217" s="351">
        <v>5.1509999999999998</v>
      </c>
      <c r="G217" s="286">
        <v>316.26</v>
      </c>
      <c r="H217" s="287">
        <v>3.4660000000000002</v>
      </c>
      <c r="I217" s="744">
        <v>317.7</v>
      </c>
      <c r="J217" s="771">
        <v>4.0919999999999996</v>
      </c>
      <c r="K217" s="558"/>
      <c r="L217" s="544"/>
      <c r="M217" s="446"/>
      <c r="AB217"/>
      <c r="AC217"/>
      <c r="AD217"/>
      <c r="AE217"/>
      <c r="AF217"/>
      <c r="AG217"/>
      <c r="AH217"/>
      <c r="AI217"/>
      <c r="AJ217"/>
      <c r="AK217"/>
      <c r="AL217"/>
      <c r="AM217"/>
      <c r="AN217"/>
      <c r="AO217"/>
      <c r="AP217" s="301"/>
      <c r="AQ217" s="313">
        <f t="shared" si="32"/>
        <v>145</v>
      </c>
      <c r="AR217">
        <f t="shared" si="34"/>
        <v>0</v>
      </c>
      <c r="AS217">
        <f t="shared" si="33"/>
        <v>0</v>
      </c>
      <c r="AT217"/>
      <c r="AU217"/>
      <c r="AV217"/>
      <c r="AW217"/>
      <c r="AX217"/>
      <c r="AY217"/>
      <c r="AZ217"/>
      <c r="BA217"/>
      <c r="BB217"/>
      <c r="BC217"/>
      <c r="BD217"/>
      <c r="BE217"/>
    </row>
    <row r="218" spans="2:57" ht="27" customHeight="1" x14ac:dyDescent="0.25">
      <c r="B218" s="332">
        <f t="shared" si="35"/>
        <v>7</v>
      </c>
      <c r="C218" s="381" t="s">
        <v>34</v>
      </c>
      <c r="D218" s="381" t="s">
        <v>78</v>
      </c>
      <c r="E218" s="374">
        <v>90</v>
      </c>
      <c r="F218" s="351">
        <v>689.09100000000001</v>
      </c>
      <c r="G218" s="286">
        <v>85.14</v>
      </c>
      <c r="H218" s="286">
        <v>466.26100000000002</v>
      </c>
      <c r="I218" s="744">
        <v>88.35</v>
      </c>
      <c r="J218" s="771">
        <v>603.99900000000002</v>
      </c>
      <c r="K218" s="558"/>
      <c r="L218" s="544"/>
      <c r="M218" s="446"/>
      <c r="AB218"/>
      <c r="AC218"/>
      <c r="AD218"/>
      <c r="AE218"/>
      <c r="AF218"/>
      <c r="AG218"/>
      <c r="AH218"/>
      <c r="AI218"/>
      <c r="AJ218"/>
      <c r="AK218"/>
      <c r="AL218"/>
      <c r="AM218"/>
      <c r="AN218"/>
      <c r="AO218"/>
      <c r="AP218" s="301"/>
      <c r="AQ218" s="313">
        <f t="shared" si="32"/>
        <v>146</v>
      </c>
      <c r="AR218">
        <f t="shared" si="34"/>
        <v>0</v>
      </c>
      <c r="AS218">
        <f t="shared" si="33"/>
        <v>0</v>
      </c>
      <c r="AT218"/>
      <c r="AU218"/>
      <c r="AV218"/>
      <c r="AW218"/>
      <c r="AX218"/>
      <c r="AY218"/>
      <c r="AZ218"/>
      <c r="BA218"/>
      <c r="BB218"/>
      <c r="BC218"/>
      <c r="BD218"/>
      <c r="BE218"/>
    </row>
    <row r="219" spans="2:57" ht="27" customHeight="1" x14ac:dyDescent="0.2">
      <c r="B219" s="332">
        <f t="shared" si="35"/>
        <v>8</v>
      </c>
      <c r="C219" s="381" t="s">
        <v>35</v>
      </c>
      <c r="D219" s="381" t="s">
        <v>79</v>
      </c>
      <c r="E219" s="374">
        <v>120.5</v>
      </c>
      <c r="F219" s="351">
        <v>2.0920000000000001</v>
      </c>
      <c r="G219" s="286">
        <v>118.44</v>
      </c>
      <c r="H219" s="333">
        <v>1.232</v>
      </c>
      <c r="I219" s="375">
        <v>117.33</v>
      </c>
      <c r="J219" s="771">
        <v>0.64900000000000002</v>
      </c>
      <c r="K219" s="558"/>
      <c r="L219" s="545"/>
      <c r="M219" s="446"/>
      <c r="AB219"/>
      <c r="AC219"/>
      <c r="AD219"/>
      <c r="AE219"/>
      <c r="AF219"/>
      <c r="AG219"/>
      <c r="AH219"/>
      <c r="AI219"/>
      <c r="AJ219"/>
      <c r="AK219"/>
      <c r="AL219"/>
      <c r="AM219"/>
      <c r="AN219"/>
      <c r="AO219"/>
      <c r="AP219" s="301"/>
      <c r="AQ219" s="313">
        <f t="shared" si="32"/>
        <v>147</v>
      </c>
      <c r="AR219">
        <f t="shared" si="34"/>
        <v>0</v>
      </c>
      <c r="AS219">
        <f t="shared" si="33"/>
        <v>0</v>
      </c>
      <c r="AT219"/>
      <c r="AU219"/>
      <c r="AV219"/>
      <c r="AW219"/>
      <c r="AX219"/>
      <c r="AY219"/>
      <c r="AZ219"/>
      <c r="BA219"/>
      <c r="BB219"/>
      <c r="BC219"/>
      <c r="BD219"/>
      <c r="BE219"/>
    </row>
    <row r="220" spans="2:57" ht="27" customHeight="1" x14ac:dyDescent="0.25">
      <c r="B220" s="332">
        <f t="shared" si="35"/>
        <v>9</v>
      </c>
      <c r="C220" s="381" t="s">
        <v>36</v>
      </c>
      <c r="D220" s="381" t="s">
        <v>79</v>
      </c>
      <c r="E220" s="374">
        <v>120.8</v>
      </c>
      <c r="F220" s="351">
        <v>2.3530000000000002</v>
      </c>
      <c r="G220" s="286">
        <v>115.88</v>
      </c>
      <c r="H220" s="333">
        <v>0.96199999999999997</v>
      </c>
      <c r="I220" s="744">
        <v>116.38</v>
      </c>
      <c r="J220" s="771">
        <v>0.32300000000000001</v>
      </c>
      <c r="K220" s="558"/>
      <c r="L220" s="544"/>
      <c r="M220" s="446"/>
      <c r="AB220"/>
      <c r="AC220"/>
      <c r="AD220"/>
      <c r="AE220"/>
      <c r="AF220"/>
      <c r="AG220"/>
      <c r="AH220"/>
      <c r="AI220"/>
      <c r="AJ220"/>
      <c r="AK220"/>
      <c r="AL220"/>
      <c r="AM220"/>
      <c r="AN220"/>
      <c r="AO220"/>
      <c r="AP220" s="301"/>
      <c r="AQ220" s="313">
        <f t="shared" si="32"/>
        <v>148</v>
      </c>
      <c r="AR220">
        <f t="shared" si="34"/>
        <v>0</v>
      </c>
      <c r="AS220">
        <f t="shared" si="33"/>
        <v>0</v>
      </c>
      <c r="AT220"/>
      <c r="AU220"/>
      <c r="AV220"/>
      <c r="AW220"/>
      <c r="AX220"/>
      <c r="AY220"/>
      <c r="AZ220"/>
      <c r="BA220"/>
      <c r="BB220"/>
      <c r="BC220"/>
      <c r="BD220"/>
      <c r="BE220"/>
    </row>
    <row r="221" spans="2:57" ht="27" customHeight="1" x14ac:dyDescent="0.25">
      <c r="B221" s="332">
        <f t="shared" si="35"/>
        <v>10</v>
      </c>
      <c r="C221" s="381" t="s">
        <v>37</v>
      </c>
      <c r="D221" s="381" t="s">
        <v>80</v>
      </c>
      <c r="E221" s="374">
        <v>46.5</v>
      </c>
      <c r="F221" s="374">
        <v>4.5999999999999996</v>
      </c>
      <c r="G221" s="286">
        <v>42.79</v>
      </c>
      <c r="H221" s="286">
        <v>1.9059999999999999</v>
      </c>
      <c r="I221" s="744">
        <v>42.58</v>
      </c>
      <c r="J221" s="771">
        <v>0.50700000000000001</v>
      </c>
      <c r="K221" s="558"/>
      <c r="L221" s="544"/>
      <c r="M221" s="446"/>
      <c r="AB221"/>
      <c r="AC221"/>
      <c r="AD221"/>
      <c r="AE221"/>
      <c r="AF221"/>
      <c r="AG221"/>
      <c r="AH221"/>
      <c r="AI221"/>
      <c r="AJ221"/>
      <c r="AK221"/>
      <c r="AL221"/>
      <c r="AM221"/>
      <c r="AN221"/>
      <c r="AO221"/>
      <c r="AP221" s="301"/>
      <c r="AQ221" s="313">
        <f t="shared" si="32"/>
        <v>149</v>
      </c>
      <c r="AR221">
        <f t="shared" si="34"/>
        <v>0</v>
      </c>
      <c r="AS221">
        <f t="shared" si="33"/>
        <v>0</v>
      </c>
      <c r="AT221"/>
      <c r="AU221"/>
      <c r="AV221"/>
      <c r="AW221"/>
      <c r="AX221"/>
      <c r="AY221"/>
      <c r="AZ221"/>
      <c r="BA221"/>
      <c r="BB221"/>
      <c r="BC221"/>
      <c r="BD221"/>
      <c r="BE221"/>
    </row>
    <row r="222" spans="2:57" ht="27" customHeight="1" x14ac:dyDescent="0.25">
      <c r="B222" s="332">
        <f t="shared" si="35"/>
        <v>11</v>
      </c>
      <c r="C222" s="381" t="s">
        <v>39</v>
      </c>
      <c r="D222" s="381" t="s">
        <v>80</v>
      </c>
      <c r="E222" s="374">
        <v>51.5</v>
      </c>
      <c r="F222" s="351">
        <v>2.4159999999999999</v>
      </c>
      <c r="G222" s="286">
        <v>48.52</v>
      </c>
      <c r="H222" s="286">
        <v>1.4239999999999999</v>
      </c>
      <c r="I222" s="745">
        <v>49.68</v>
      </c>
      <c r="J222" s="771">
        <v>1.8029999999999999</v>
      </c>
      <c r="K222" s="558"/>
      <c r="L222" s="544"/>
      <c r="M222" s="446"/>
      <c r="AB222"/>
      <c r="AC222"/>
      <c r="AD222"/>
      <c r="AE222"/>
      <c r="AF222"/>
      <c r="AG222"/>
      <c r="AH222"/>
      <c r="AI222"/>
      <c r="AJ222"/>
      <c r="AK222"/>
      <c r="AL222"/>
      <c r="AM222"/>
      <c r="AN222"/>
      <c r="AO222"/>
      <c r="AP222" s="301"/>
      <c r="AQ222" s="313">
        <f t="shared" si="32"/>
        <v>150</v>
      </c>
      <c r="AR222">
        <f t="shared" si="34"/>
        <v>0</v>
      </c>
      <c r="AS222">
        <f t="shared" si="33"/>
        <v>0</v>
      </c>
      <c r="AT222"/>
      <c r="AU222"/>
      <c r="AV222"/>
      <c r="AW222"/>
      <c r="AX222"/>
      <c r="AY222"/>
      <c r="AZ222"/>
      <c r="BA222"/>
      <c r="BB222"/>
      <c r="BC222"/>
      <c r="BD222"/>
      <c r="BE222"/>
    </row>
    <row r="223" spans="2:57" ht="27" customHeight="1" x14ac:dyDescent="0.25">
      <c r="B223" s="332">
        <f t="shared" si="35"/>
        <v>12</v>
      </c>
      <c r="C223" s="381" t="s">
        <v>40</v>
      </c>
      <c r="D223" s="381" t="s">
        <v>78</v>
      </c>
      <c r="E223" s="374">
        <v>81</v>
      </c>
      <c r="F223" s="351">
        <v>1.093</v>
      </c>
      <c r="G223" s="286">
        <v>79.91</v>
      </c>
      <c r="H223" s="333">
        <v>0.745</v>
      </c>
      <c r="I223" s="744">
        <v>78.55</v>
      </c>
      <c r="J223" s="771">
        <v>0.84399999999999997</v>
      </c>
      <c r="K223" s="558"/>
      <c r="L223" s="544"/>
      <c r="M223" s="446"/>
      <c r="AB223"/>
      <c r="AC223"/>
      <c r="AD223"/>
      <c r="AE223"/>
      <c r="AF223"/>
      <c r="AG223"/>
      <c r="AH223"/>
      <c r="AI223"/>
      <c r="AJ223"/>
      <c r="AK223"/>
      <c r="AL223"/>
      <c r="AM223"/>
      <c r="AN223"/>
      <c r="AO223"/>
      <c r="AP223" s="301"/>
      <c r="AQ223" s="313">
        <f t="shared" si="32"/>
        <v>151</v>
      </c>
      <c r="AR223">
        <f t="shared" si="34"/>
        <v>0</v>
      </c>
      <c r="AS223">
        <f t="shared" si="33"/>
        <v>0</v>
      </c>
      <c r="AT223"/>
      <c r="AU223"/>
      <c r="AV223"/>
      <c r="AW223"/>
      <c r="AX223"/>
      <c r="AY223"/>
      <c r="AZ223"/>
      <c r="BA223"/>
      <c r="BB223"/>
      <c r="BC223"/>
      <c r="BD223"/>
      <c r="BE223"/>
    </row>
    <row r="224" spans="2:57" ht="27" customHeight="1" x14ac:dyDescent="0.25">
      <c r="B224" s="332">
        <f t="shared" si="35"/>
        <v>13</v>
      </c>
      <c r="C224" s="381" t="s">
        <v>41</v>
      </c>
      <c r="D224" s="381" t="s">
        <v>78</v>
      </c>
      <c r="E224" s="374">
        <v>82.8</v>
      </c>
      <c r="F224" s="351">
        <v>0.42899999999999999</v>
      </c>
      <c r="G224" s="286">
        <v>81.96</v>
      </c>
      <c r="H224" s="333">
        <v>0.30299999999999999</v>
      </c>
      <c r="I224" s="744">
        <v>81.42</v>
      </c>
      <c r="J224" s="771">
        <v>5.2999999999999999E-2</v>
      </c>
      <c r="K224" s="558"/>
      <c r="L224" s="544"/>
      <c r="M224" s="446"/>
      <c r="AB224"/>
      <c r="AC224"/>
      <c r="AD224"/>
      <c r="AE224"/>
      <c r="AF224"/>
      <c r="AG224"/>
      <c r="AH224"/>
      <c r="AI224"/>
      <c r="AJ224"/>
      <c r="AK224"/>
      <c r="AL224"/>
      <c r="AM224"/>
      <c r="AN224"/>
      <c r="AO224"/>
      <c r="AP224" s="301"/>
      <c r="AQ224" s="313">
        <f t="shared" si="32"/>
        <v>152</v>
      </c>
      <c r="AR224">
        <f t="shared" si="34"/>
        <v>0</v>
      </c>
      <c r="AS224">
        <f t="shared" si="33"/>
        <v>0</v>
      </c>
      <c r="AT224"/>
      <c r="AU224"/>
      <c r="AV224"/>
      <c r="AW224"/>
      <c r="AX224"/>
      <c r="AY224"/>
      <c r="AZ224"/>
      <c r="BA224"/>
      <c r="BB224"/>
      <c r="BC224"/>
      <c r="BD224"/>
      <c r="BE224"/>
    </row>
    <row r="225" spans="2:57" ht="27" customHeight="1" x14ac:dyDescent="0.25">
      <c r="B225" s="332">
        <f t="shared" si="35"/>
        <v>14</v>
      </c>
      <c r="C225" s="381" t="s">
        <v>42</v>
      </c>
      <c r="D225" s="381" t="s">
        <v>78</v>
      </c>
      <c r="E225" s="374">
        <v>69.95</v>
      </c>
      <c r="F225" s="351">
        <v>0.25</v>
      </c>
      <c r="G225" s="286">
        <v>69.47</v>
      </c>
      <c r="H225" s="286">
        <v>0.17599999999999999</v>
      </c>
      <c r="I225" s="744">
        <v>63.68</v>
      </c>
      <c r="J225" s="771">
        <v>0.215</v>
      </c>
      <c r="K225" s="558"/>
      <c r="L225" s="544"/>
      <c r="M225" s="446"/>
      <c r="AB225"/>
      <c r="AC225"/>
      <c r="AD225"/>
      <c r="AE225"/>
      <c r="AF225"/>
      <c r="AG225"/>
      <c r="AH225"/>
      <c r="AI225"/>
      <c r="AJ225"/>
      <c r="AK225"/>
      <c r="AL225"/>
      <c r="AM225"/>
      <c r="AN225"/>
      <c r="AO225"/>
      <c r="AP225" s="301"/>
      <c r="AQ225" s="313">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332">
        <f t="shared" si="35"/>
        <v>15</v>
      </c>
      <c r="C226" s="381" t="s">
        <v>43</v>
      </c>
      <c r="D226" s="381" t="s">
        <v>78</v>
      </c>
      <c r="E226" s="374">
        <v>48.2</v>
      </c>
      <c r="F226" s="351">
        <v>0.38500000000000001</v>
      </c>
      <c r="G226" s="286">
        <v>45.8</v>
      </c>
      <c r="H226" s="333">
        <v>8.4000000000000005E-2</v>
      </c>
      <c r="I226" s="744">
        <v>47.01</v>
      </c>
      <c r="J226" s="771">
        <v>0.39700000000000002</v>
      </c>
      <c r="K226" s="558"/>
      <c r="L226" s="544"/>
      <c r="M226" s="446"/>
      <c r="AB226"/>
      <c r="AC226"/>
      <c r="AD226"/>
      <c r="AE226"/>
      <c r="AF226"/>
      <c r="AG226"/>
      <c r="AH226"/>
      <c r="AI226"/>
      <c r="AJ226"/>
      <c r="AK226"/>
      <c r="AL226"/>
      <c r="AM226"/>
      <c r="AN226"/>
      <c r="AO226"/>
      <c r="AP226" s="301"/>
      <c r="AQ226" s="313">
        <f t="shared" si="32"/>
        <v>154</v>
      </c>
      <c r="AR226">
        <f t="shared" si="36"/>
        <v>0</v>
      </c>
      <c r="AS226">
        <f t="shared" si="33"/>
        <v>0</v>
      </c>
      <c r="AT226"/>
      <c r="AU226"/>
      <c r="AV226"/>
      <c r="AW226"/>
      <c r="AX226"/>
      <c r="AY226"/>
      <c r="AZ226"/>
      <c r="BA226"/>
      <c r="BB226"/>
      <c r="BC226"/>
      <c r="BD226"/>
      <c r="BE226"/>
    </row>
    <row r="227" spans="2:57" ht="27" customHeight="1" x14ac:dyDescent="0.2">
      <c r="B227" s="332">
        <f t="shared" si="35"/>
        <v>16</v>
      </c>
      <c r="C227" s="381" t="s">
        <v>81</v>
      </c>
      <c r="D227" s="381" t="s">
        <v>44</v>
      </c>
      <c r="E227" s="374">
        <v>136</v>
      </c>
      <c r="F227" s="351">
        <v>440</v>
      </c>
      <c r="G227" s="286">
        <v>132.91999999999999</v>
      </c>
      <c r="H227" s="286">
        <v>211.166</v>
      </c>
      <c r="I227" s="373">
        <v>132.55000000000001</v>
      </c>
      <c r="J227" s="774">
        <v>202.19</v>
      </c>
      <c r="K227" s="558"/>
      <c r="L227" s="546"/>
      <c r="M227" s="452"/>
      <c r="AB227"/>
      <c r="AC227"/>
      <c r="AD227"/>
      <c r="AE227"/>
      <c r="AF227"/>
      <c r="AG227"/>
      <c r="AH227"/>
      <c r="AI227"/>
      <c r="AJ227"/>
      <c r="AK227"/>
      <c r="AL227"/>
      <c r="AM227"/>
      <c r="AN227"/>
      <c r="AO227"/>
      <c r="AP227" s="301"/>
      <c r="AQ227" s="313">
        <f t="shared" si="32"/>
        <v>155</v>
      </c>
      <c r="AR227">
        <f t="shared" si="36"/>
        <v>0</v>
      </c>
      <c r="AS227">
        <f t="shared" si="33"/>
        <v>0</v>
      </c>
      <c r="AT227"/>
      <c r="AU227"/>
      <c r="AV227"/>
      <c r="AW227"/>
      <c r="AX227"/>
      <c r="AY227"/>
      <c r="AZ227"/>
      <c r="BA227"/>
      <c r="BB227"/>
      <c r="BC227"/>
      <c r="BD227"/>
      <c r="BE227"/>
    </row>
    <row r="228" spans="2:57" ht="27" customHeight="1" x14ac:dyDescent="0.2">
      <c r="B228" s="332">
        <f t="shared" si="35"/>
        <v>17</v>
      </c>
      <c r="C228" s="381" t="s">
        <v>45</v>
      </c>
      <c r="D228" s="381" t="s">
        <v>44</v>
      </c>
      <c r="E228" s="374">
        <v>113.5</v>
      </c>
      <c r="F228" s="351">
        <v>3.7519999999999998</v>
      </c>
      <c r="G228" s="286">
        <v>113</v>
      </c>
      <c r="H228" s="286">
        <v>2.1120000000000001</v>
      </c>
      <c r="I228" s="746">
        <v>112.13</v>
      </c>
      <c r="J228" s="774">
        <v>1.7410000000000001</v>
      </c>
      <c r="K228" s="558"/>
      <c r="L228" s="546"/>
      <c r="M228" s="452"/>
      <c r="AB228"/>
      <c r="AC228"/>
      <c r="AD228"/>
      <c r="AE228"/>
      <c r="AF228"/>
      <c r="AG228"/>
      <c r="AH228"/>
      <c r="AI228"/>
      <c r="AJ228"/>
      <c r="AK228"/>
      <c r="AL228"/>
      <c r="AM228"/>
      <c r="AN228"/>
      <c r="AO228"/>
      <c r="AP228" s="301"/>
      <c r="AQ228" s="313">
        <f t="shared" si="32"/>
        <v>156</v>
      </c>
      <c r="AR228">
        <f t="shared" si="36"/>
        <v>0</v>
      </c>
      <c r="AS228">
        <f t="shared" si="33"/>
        <v>0</v>
      </c>
      <c r="AT228"/>
      <c r="AU228"/>
      <c r="AV228"/>
      <c r="AW228"/>
      <c r="AX228"/>
      <c r="AY228"/>
      <c r="AZ228"/>
      <c r="BA228"/>
      <c r="BB228"/>
      <c r="BC228"/>
      <c r="BD228"/>
      <c r="BE228"/>
    </row>
    <row r="229" spans="2:57" ht="27" customHeight="1" x14ac:dyDescent="0.2">
      <c r="B229" s="332">
        <f t="shared" si="35"/>
        <v>18</v>
      </c>
      <c r="C229" s="381" t="s">
        <v>46</v>
      </c>
      <c r="D229" s="381" t="s">
        <v>44</v>
      </c>
      <c r="E229" s="374">
        <v>225.4</v>
      </c>
      <c r="F229" s="374">
        <v>1.2</v>
      </c>
      <c r="G229" s="286">
        <v>203.5</v>
      </c>
      <c r="H229" s="286">
        <v>0.27300000000000002</v>
      </c>
      <c r="I229" s="373">
        <v>201.8</v>
      </c>
      <c r="J229" s="774">
        <v>0.125</v>
      </c>
      <c r="K229" s="558"/>
      <c r="L229" s="546"/>
      <c r="M229" s="452"/>
      <c r="AB229"/>
      <c r="AC229"/>
      <c r="AD229"/>
      <c r="AE229"/>
      <c r="AF229"/>
      <c r="AG229"/>
      <c r="AH229"/>
      <c r="AI229"/>
      <c r="AJ229"/>
      <c r="AK229"/>
      <c r="AL229"/>
      <c r="AM229"/>
      <c r="AN229"/>
      <c r="AO229"/>
      <c r="AP229" s="301"/>
      <c r="AQ229" s="313">
        <f t="shared" si="32"/>
        <v>157</v>
      </c>
      <c r="AR229">
        <f t="shared" si="36"/>
        <v>0</v>
      </c>
      <c r="AS229">
        <f t="shared" si="33"/>
        <v>0</v>
      </c>
      <c r="AT229"/>
      <c r="AU229"/>
      <c r="AV229"/>
      <c r="AW229"/>
      <c r="AX229"/>
      <c r="AY229"/>
      <c r="AZ229"/>
      <c r="BA229"/>
      <c r="BB229"/>
      <c r="BC229"/>
      <c r="BD229"/>
      <c r="BE229"/>
    </row>
    <row r="230" spans="2:57" ht="27" customHeight="1" x14ac:dyDescent="0.2">
      <c r="B230" s="332">
        <f t="shared" si="35"/>
        <v>19</v>
      </c>
      <c r="C230" s="381" t="s">
        <v>47</v>
      </c>
      <c r="D230" s="381" t="s">
        <v>44</v>
      </c>
      <c r="E230" s="374">
        <v>224</v>
      </c>
      <c r="F230" s="351">
        <v>0.6</v>
      </c>
      <c r="G230" s="286">
        <v>223.53</v>
      </c>
      <c r="H230" s="286">
        <v>0.38400000000000001</v>
      </c>
      <c r="I230" s="746">
        <v>221.31</v>
      </c>
      <c r="J230" s="775">
        <v>0.22600000000000001</v>
      </c>
      <c r="K230" s="558"/>
      <c r="L230" s="547"/>
      <c r="M230" s="453"/>
      <c r="AB230"/>
      <c r="AC230"/>
      <c r="AD230"/>
      <c r="AE230"/>
      <c r="AF230"/>
      <c r="AG230"/>
      <c r="AH230"/>
      <c r="AI230"/>
      <c r="AJ230"/>
      <c r="AK230"/>
      <c r="AL230"/>
      <c r="AM230"/>
      <c r="AN230"/>
      <c r="AO230"/>
      <c r="AP230" s="301"/>
      <c r="AQ230" s="313">
        <f t="shared" si="32"/>
        <v>158</v>
      </c>
      <c r="AR230">
        <f t="shared" si="36"/>
        <v>0</v>
      </c>
      <c r="AS230">
        <f t="shared" si="33"/>
        <v>0</v>
      </c>
      <c r="AT230"/>
      <c r="AU230"/>
      <c r="AV230"/>
      <c r="AW230"/>
      <c r="AX230"/>
      <c r="AY230"/>
      <c r="AZ230"/>
      <c r="BA230"/>
      <c r="BB230"/>
      <c r="BC230"/>
      <c r="BD230"/>
      <c r="BE230"/>
    </row>
    <row r="231" spans="2:57" ht="27" customHeight="1" x14ac:dyDescent="0.2">
      <c r="B231" s="332">
        <f t="shared" si="35"/>
        <v>20</v>
      </c>
      <c r="C231" s="381" t="s">
        <v>48</v>
      </c>
      <c r="D231" s="381" t="s">
        <v>44</v>
      </c>
      <c r="E231" s="374">
        <v>196</v>
      </c>
      <c r="F231" s="351">
        <v>1.5820000000000001</v>
      </c>
      <c r="G231" s="286">
        <v>195.5</v>
      </c>
      <c r="H231" s="286">
        <v>0.67500000000000004</v>
      </c>
      <c r="I231" s="746">
        <v>196.01</v>
      </c>
      <c r="J231" s="774">
        <v>0.77300000000000002</v>
      </c>
      <c r="K231" s="558"/>
      <c r="L231" s="546"/>
      <c r="M231" s="452"/>
      <c r="AB231"/>
      <c r="AC231"/>
      <c r="AD231"/>
      <c r="AE231"/>
      <c r="AF231"/>
      <c r="AG231"/>
      <c r="AH231"/>
      <c r="AI231"/>
      <c r="AJ231"/>
      <c r="AK231"/>
      <c r="AL231"/>
      <c r="AM231"/>
      <c r="AN231"/>
      <c r="AO231"/>
      <c r="AP231" s="301"/>
      <c r="AQ231" s="313">
        <f t="shared" si="32"/>
        <v>159</v>
      </c>
      <c r="AR231">
        <f t="shared" si="36"/>
        <v>0</v>
      </c>
      <c r="AS231">
        <f t="shared" si="33"/>
        <v>0</v>
      </c>
      <c r="AT231"/>
      <c r="AU231"/>
      <c r="AV231"/>
      <c r="AW231"/>
      <c r="AX231"/>
      <c r="AY231"/>
      <c r="AZ231"/>
      <c r="BA231"/>
      <c r="BB231"/>
      <c r="BC231"/>
      <c r="BD231"/>
      <c r="BE231"/>
    </row>
    <row r="232" spans="2:57" ht="27" customHeight="1" x14ac:dyDescent="0.2">
      <c r="B232" s="332">
        <f t="shared" si="35"/>
        <v>21</v>
      </c>
      <c r="C232" s="381" t="s">
        <v>49</v>
      </c>
      <c r="D232" s="381" t="s">
        <v>44</v>
      </c>
      <c r="E232" s="374">
        <v>174</v>
      </c>
      <c r="F232" s="351">
        <v>0.47899999999999998</v>
      </c>
      <c r="G232" s="286">
        <v>170.57</v>
      </c>
      <c r="H232" s="286">
        <v>0.16300000000000001</v>
      </c>
      <c r="I232" s="746">
        <v>168.47</v>
      </c>
      <c r="J232" s="774">
        <v>5.7000000000000002E-2</v>
      </c>
      <c r="K232" s="558"/>
      <c r="L232" s="546"/>
      <c r="M232" s="452"/>
      <c r="AB232"/>
      <c r="AC232"/>
      <c r="AD232"/>
      <c r="AE232"/>
      <c r="AF232"/>
      <c r="AG232"/>
      <c r="AH232"/>
      <c r="AI232"/>
      <c r="AJ232"/>
      <c r="AK232"/>
      <c r="AL232"/>
      <c r="AM232"/>
      <c r="AN232"/>
      <c r="AO232"/>
      <c r="AP232" s="301"/>
      <c r="AQ232" s="313">
        <f t="shared" si="32"/>
        <v>160</v>
      </c>
      <c r="AR232">
        <f t="shared" si="36"/>
        <v>0</v>
      </c>
      <c r="AS232">
        <f t="shared" si="33"/>
        <v>0</v>
      </c>
      <c r="AT232"/>
      <c r="AU232"/>
      <c r="AV232"/>
      <c r="AW232"/>
      <c r="AX232"/>
      <c r="AY232"/>
      <c r="AZ232"/>
      <c r="BA232"/>
      <c r="BB232"/>
      <c r="BC232"/>
      <c r="BD232"/>
      <c r="BE232"/>
    </row>
    <row r="233" spans="2:57" ht="27" customHeight="1" x14ac:dyDescent="0.2">
      <c r="B233" s="330">
        <f t="shared" si="35"/>
        <v>22</v>
      </c>
      <c r="C233" s="331" t="s">
        <v>50</v>
      </c>
      <c r="D233" s="331" t="s">
        <v>44</v>
      </c>
      <c r="E233" s="352">
        <v>229.1</v>
      </c>
      <c r="F233" s="377">
        <v>0.79200000000000004</v>
      </c>
      <c r="G233" s="285">
        <v>226.6</v>
      </c>
      <c r="H233" s="285">
        <v>0.49199999999999999</v>
      </c>
      <c r="I233" s="747">
        <v>225.94</v>
      </c>
      <c r="J233" s="776">
        <v>0.436</v>
      </c>
      <c r="K233" s="558"/>
      <c r="L233" s="547"/>
      <c r="M233" s="453"/>
      <c r="AB233"/>
      <c r="AC233"/>
      <c r="AD233"/>
      <c r="AE233"/>
      <c r="AF233"/>
      <c r="AG233"/>
      <c r="AH233"/>
      <c r="AI233"/>
      <c r="AJ233"/>
      <c r="AK233"/>
      <c r="AL233"/>
      <c r="AM233"/>
      <c r="AN233"/>
      <c r="AO233"/>
      <c r="AP233" s="301"/>
      <c r="AQ233" s="313">
        <f t="shared" si="32"/>
        <v>161</v>
      </c>
      <c r="AR233">
        <f t="shared" si="36"/>
        <v>0</v>
      </c>
      <c r="AS233">
        <f t="shared" si="33"/>
        <v>0</v>
      </c>
      <c r="AT233"/>
      <c r="AU233"/>
      <c r="AV233"/>
      <c r="AW233"/>
      <c r="AX233"/>
      <c r="AY233"/>
      <c r="AZ233"/>
      <c r="BA233"/>
      <c r="BB233"/>
      <c r="BC233"/>
      <c r="BD233"/>
      <c r="BE233"/>
    </row>
    <row r="234" spans="2:57" ht="27" customHeight="1" x14ac:dyDescent="0.2">
      <c r="B234" s="332">
        <f t="shared" si="35"/>
        <v>23</v>
      </c>
      <c r="C234" s="381" t="s">
        <v>51</v>
      </c>
      <c r="D234" s="381" t="s">
        <v>44</v>
      </c>
      <c r="E234" s="374">
        <v>249</v>
      </c>
      <c r="F234" s="351">
        <v>2.1240000000000001</v>
      </c>
      <c r="G234" s="286">
        <v>248.7</v>
      </c>
      <c r="H234" s="286">
        <v>1.708</v>
      </c>
      <c r="I234" s="746">
        <v>247.44</v>
      </c>
      <c r="J234" s="775">
        <v>1.3620000000000001</v>
      </c>
      <c r="K234" s="558"/>
      <c r="L234" s="547"/>
      <c r="M234" s="453"/>
      <c r="AB234"/>
      <c r="AC234"/>
      <c r="AD234"/>
      <c r="AE234"/>
      <c r="AF234"/>
      <c r="AG234"/>
      <c r="AH234"/>
      <c r="AI234"/>
      <c r="AJ234"/>
      <c r="AK234"/>
      <c r="AL234"/>
      <c r="AM234"/>
      <c r="AN234"/>
      <c r="AO234"/>
      <c r="AP234" s="301"/>
      <c r="AQ234" s="313">
        <f t="shared" si="32"/>
        <v>162</v>
      </c>
      <c r="AR234">
        <f t="shared" si="36"/>
        <v>0</v>
      </c>
      <c r="AS234">
        <f t="shared" si="33"/>
        <v>0</v>
      </c>
      <c r="AT234"/>
      <c r="AU234"/>
      <c r="AV234"/>
      <c r="AW234"/>
      <c r="AX234"/>
      <c r="AY234"/>
      <c r="AZ234"/>
      <c r="BA234"/>
      <c r="BB234"/>
      <c r="BC234"/>
      <c r="BD234"/>
      <c r="BE234"/>
    </row>
    <row r="235" spans="2:57" ht="27" customHeight="1" x14ac:dyDescent="0.2">
      <c r="B235" s="332">
        <f t="shared" si="35"/>
        <v>24</v>
      </c>
      <c r="C235" s="381" t="s">
        <v>52</v>
      </c>
      <c r="D235" s="381" t="s">
        <v>82</v>
      </c>
      <c r="E235" s="374">
        <v>164.75</v>
      </c>
      <c r="F235" s="374">
        <v>5</v>
      </c>
      <c r="G235" s="286">
        <v>140</v>
      </c>
      <c r="H235" s="286">
        <v>0</v>
      </c>
      <c r="I235" s="373">
        <v>140</v>
      </c>
      <c r="J235" s="775">
        <v>0</v>
      </c>
      <c r="K235" s="558"/>
      <c r="L235" s="547"/>
      <c r="M235" s="453"/>
      <c r="AB235"/>
      <c r="AC235"/>
      <c r="AD235"/>
      <c r="AE235"/>
      <c r="AF235"/>
      <c r="AG235"/>
      <c r="AH235"/>
      <c r="AI235"/>
      <c r="AJ235"/>
      <c r="AK235"/>
      <c r="AL235"/>
      <c r="AM235"/>
      <c r="AN235"/>
      <c r="AO235"/>
      <c r="AP235" s="301"/>
      <c r="AQ235" s="313">
        <f t="shared" si="32"/>
        <v>163</v>
      </c>
      <c r="AR235">
        <f t="shared" si="36"/>
        <v>0</v>
      </c>
      <c r="AS235">
        <f t="shared" si="33"/>
        <v>0</v>
      </c>
      <c r="AT235"/>
      <c r="AU235"/>
      <c r="AV235"/>
      <c r="AW235"/>
      <c r="AX235"/>
      <c r="AY235"/>
      <c r="AZ235"/>
      <c r="BA235"/>
      <c r="BB235"/>
      <c r="BC235"/>
      <c r="BD235"/>
      <c r="BE235"/>
    </row>
    <row r="236" spans="2:57" ht="27" customHeight="1" x14ac:dyDescent="0.2">
      <c r="B236" s="332">
        <f t="shared" si="35"/>
        <v>25</v>
      </c>
      <c r="C236" s="381" t="s">
        <v>53</v>
      </c>
      <c r="D236" s="381" t="s">
        <v>82</v>
      </c>
      <c r="E236" s="374">
        <v>179.1</v>
      </c>
      <c r="F236" s="351">
        <v>4.2</v>
      </c>
      <c r="G236" s="287">
        <v>204.56</v>
      </c>
      <c r="H236" s="287">
        <v>3.052</v>
      </c>
      <c r="I236" s="373">
        <v>204.4</v>
      </c>
      <c r="J236" s="774">
        <v>2.956</v>
      </c>
      <c r="K236" s="558"/>
      <c r="L236" s="546"/>
      <c r="M236" s="452"/>
      <c r="AB236"/>
      <c r="AC236"/>
      <c r="AD236"/>
      <c r="AE236"/>
      <c r="AF236"/>
      <c r="AG236"/>
      <c r="AH236"/>
      <c r="AI236"/>
      <c r="AJ236"/>
      <c r="AK236"/>
      <c r="AL236"/>
      <c r="AM236"/>
      <c r="AN236"/>
      <c r="AO236"/>
      <c r="AP236" s="301"/>
      <c r="AQ236" s="313">
        <f t="shared" si="32"/>
        <v>164</v>
      </c>
      <c r="AR236">
        <f t="shared" si="36"/>
        <v>0</v>
      </c>
      <c r="AS236">
        <f t="shared" si="33"/>
        <v>0</v>
      </c>
      <c r="AT236"/>
      <c r="AU236"/>
      <c r="AV236"/>
      <c r="AW236"/>
      <c r="AX236"/>
      <c r="AY236"/>
      <c r="AZ236"/>
      <c r="BA236"/>
      <c r="BB236"/>
      <c r="BC236"/>
      <c r="BD236"/>
      <c r="BE236"/>
    </row>
    <row r="237" spans="2:57" ht="27" customHeight="1" x14ac:dyDescent="0.2">
      <c r="B237" s="332">
        <f t="shared" si="35"/>
        <v>26</v>
      </c>
      <c r="C237" s="381" t="s">
        <v>54</v>
      </c>
      <c r="D237" s="381" t="s">
        <v>83</v>
      </c>
      <c r="E237" s="374">
        <v>325.56</v>
      </c>
      <c r="F237" s="351">
        <v>0.70099999999999996</v>
      </c>
      <c r="G237" s="287">
        <v>325.5</v>
      </c>
      <c r="H237" s="287">
        <v>0.69599999999999995</v>
      </c>
      <c r="I237" s="746">
        <v>325.19</v>
      </c>
      <c r="J237" s="775">
        <v>0.66700000000000004</v>
      </c>
      <c r="K237" s="558"/>
      <c r="L237" s="547"/>
      <c r="M237" s="453"/>
      <c r="AB237"/>
      <c r="AC237"/>
      <c r="AD237"/>
      <c r="AE237"/>
      <c r="AF237"/>
      <c r="AG237"/>
      <c r="AH237"/>
      <c r="AI237"/>
      <c r="AJ237"/>
      <c r="AK237"/>
      <c r="AL237"/>
      <c r="AM237"/>
      <c r="AN237"/>
      <c r="AO237"/>
      <c r="AP237" s="301"/>
      <c r="AQ237" s="313">
        <f t="shared" si="32"/>
        <v>165</v>
      </c>
      <c r="AR237">
        <f t="shared" si="36"/>
        <v>0</v>
      </c>
      <c r="AS237">
        <f t="shared" si="33"/>
        <v>0</v>
      </c>
      <c r="AT237"/>
      <c r="AU237"/>
      <c r="AV237"/>
      <c r="AW237"/>
      <c r="AX237"/>
      <c r="AY237"/>
      <c r="AZ237"/>
      <c r="BA237"/>
      <c r="BB237"/>
      <c r="BC237"/>
      <c r="BD237"/>
      <c r="BE237"/>
    </row>
    <row r="238" spans="2:57" ht="27" customHeight="1" x14ac:dyDescent="0.2">
      <c r="B238" s="332">
        <f t="shared" si="35"/>
        <v>27</v>
      </c>
      <c r="C238" s="381" t="s">
        <v>55</v>
      </c>
      <c r="D238" s="381" t="s">
        <v>83</v>
      </c>
      <c r="E238" s="374">
        <v>129.19999999999999</v>
      </c>
      <c r="F238" s="351">
        <v>0.5</v>
      </c>
      <c r="G238" s="286">
        <v>129.19999999999999</v>
      </c>
      <c r="H238" s="286">
        <v>0.71</v>
      </c>
      <c r="I238" s="746">
        <v>128.81</v>
      </c>
      <c r="J238" s="774">
        <v>0.65700000000000003</v>
      </c>
      <c r="K238" s="558"/>
      <c r="L238" s="546"/>
      <c r="M238" s="452"/>
      <c r="AB238"/>
      <c r="AC238"/>
      <c r="AD238"/>
      <c r="AE238"/>
      <c r="AF238"/>
      <c r="AG238"/>
      <c r="AH238"/>
      <c r="AI238"/>
      <c r="AJ238"/>
      <c r="AK238"/>
      <c r="AL238"/>
      <c r="AM238"/>
      <c r="AN238"/>
      <c r="AO238"/>
      <c r="AP238" s="301"/>
      <c r="AQ238" s="313">
        <f t="shared" si="32"/>
        <v>166</v>
      </c>
      <c r="AR238">
        <f t="shared" si="36"/>
        <v>0</v>
      </c>
      <c r="AS238">
        <f t="shared" si="33"/>
        <v>0</v>
      </c>
      <c r="AT238"/>
      <c r="AU238"/>
      <c r="AV238"/>
      <c r="AW238"/>
      <c r="AX238"/>
      <c r="AY238"/>
      <c r="AZ238"/>
      <c r="BA238"/>
      <c r="BB238"/>
      <c r="BC238"/>
      <c r="BD238"/>
      <c r="BE238"/>
    </row>
    <row r="239" spans="2:57" ht="27" customHeight="1" x14ac:dyDescent="0.2">
      <c r="B239" s="332">
        <f t="shared" si="35"/>
        <v>28</v>
      </c>
      <c r="C239" s="381" t="s">
        <v>56</v>
      </c>
      <c r="D239" s="381" t="s">
        <v>83</v>
      </c>
      <c r="E239" s="374">
        <v>282.77999999999997</v>
      </c>
      <c r="F239" s="351">
        <v>0.51300000000000001</v>
      </c>
      <c r="G239" s="286">
        <v>282.95999999999998</v>
      </c>
      <c r="H239" s="286">
        <v>0.48</v>
      </c>
      <c r="I239" s="373">
        <v>282.95999999999998</v>
      </c>
      <c r="J239" s="774">
        <v>0.48</v>
      </c>
      <c r="K239" s="558"/>
      <c r="L239" s="546"/>
      <c r="M239" s="452"/>
      <c r="AB239"/>
      <c r="AC239"/>
      <c r="AD239"/>
      <c r="AE239"/>
      <c r="AF239"/>
      <c r="AG239"/>
      <c r="AH239"/>
      <c r="AI239"/>
      <c r="AJ239"/>
      <c r="AK239"/>
      <c r="AL239"/>
      <c r="AM239"/>
      <c r="AN239"/>
      <c r="AO239"/>
      <c r="AP239" s="301"/>
      <c r="AQ239" s="313">
        <f t="shared" si="32"/>
        <v>167</v>
      </c>
      <c r="AR239">
        <f t="shared" si="36"/>
        <v>0</v>
      </c>
      <c r="AS239">
        <f t="shared" si="33"/>
        <v>0</v>
      </c>
      <c r="AT239"/>
      <c r="AU239"/>
      <c r="AV239"/>
      <c r="AW239"/>
      <c r="AX239"/>
      <c r="AY239"/>
      <c r="AZ239"/>
      <c r="BA239"/>
      <c r="BB239"/>
      <c r="BC239"/>
      <c r="BD239"/>
      <c r="BE239"/>
    </row>
    <row r="240" spans="2:57" ht="27" customHeight="1" x14ac:dyDescent="0.2">
      <c r="B240" s="332">
        <f t="shared" si="35"/>
        <v>29</v>
      </c>
      <c r="C240" s="381" t="s">
        <v>57</v>
      </c>
      <c r="D240" s="381" t="s">
        <v>83</v>
      </c>
      <c r="E240" s="374">
        <v>99</v>
      </c>
      <c r="F240" s="351">
        <v>2.6110000000000002</v>
      </c>
      <c r="G240" s="286">
        <v>98.85</v>
      </c>
      <c r="H240" s="286">
        <v>2.7770000000000001</v>
      </c>
      <c r="I240" s="746">
        <v>98.95</v>
      </c>
      <c r="J240" s="775">
        <v>2.8490000000000002</v>
      </c>
      <c r="K240" s="558"/>
      <c r="L240" s="547"/>
      <c r="M240" s="453"/>
      <c r="AB240"/>
      <c r="AC240"/>
      <c r="AD240"/>
      <c r="AE240"/>
      <c r="AF240"/>
      <c r="AG240"/>
      <c r="AH240"/>
      <c r="AI240"/>
      <c r="AJ240"/>
      <c r="AK240"/>
      <c r="AL240"/>
      <c r="AM240"/>
      <c r="AN240"/>
      <c r="AO240"/>
      <c r="AP240" s="301"/>
      <c r="AQ240" s="313">
        <f t="shared" si="32"/>
        <v>168</v>
      </c>
      <c r="AR240">
        <f t="shared" si="36"/>
        <v>0</v>
      </c>
      <c r="AS240">
        <f t="shared" si="33"/>
        <v>0</v>
      </c>
      <c r="AT240"/>
      <c r="AU240"/>
      <c r="AV240"/>
      <c r="AW240"/>
      <c r="AX240"/>
      <c r="AY240"/>
      <c r="AZ240"/>
      <c r="BA240"/>
      <c r="BB240"/>
      <c r="BC240"/>
      <c r="BD240"/>
      <c r="BE240"/>
    </row>
    <row r="241" spans="2:57" ht="27" customHeight="1" x14ac:dyDescent="0.2">
      <c r="B241" s="332">
        <f t="shared" si="35"/>
        <v>30</v>
      </c>
      <c r="C241" s="381" t="s">
        <v>58</v>
      </c>
      <c r="D241" s="381" t="s">
        <v>83</v>
      </c>
      <c r="E241" s="374">
        <v>189.7</v>
      </c>
      <c r="F241" s="374">
        <v>7.9000000000000001E-2</v>
      </c>
      <c r="G241" s="286">
        <v>189.7</v>
      </c>
      <c r="H241" s="286">
        <v>0.08</v>
      </c>
      <c r="I241" s="746">
        <v>189.39</v>
      </c>
      <c r="J241" s="775">
        <v>7.2999999999999995E-2</v>
      </c>
      <c r="K241" s="558"/>
      <c r="L241" s="547"/>
      <c r="M241" s="453"/>
      <c r="AB241"/>
      <c r="AC241"/>
      <c r="AD241"/>
      <c r="AE241"/>
      <c r="AF241"/>
      <c r="AG241"/>
      <c r="AH241"/>
      <c r="AI241"/>
      <c r="AJ241"/>
      <c r="AK241"/>
      <c r="AL241"/>
      <c r="AM241"/>
      <c r="AN241"/>
      <c r="AO241"/>
      <c r="AP241" s="301"/>
      <c r="AQ241" s="313">
        <f t="shared" si="32"/>
        <v>169</v>
      </c>
      <c r="AR241">
        <f t="shared" si="36"/>
        <v>0</v>
      </c>
      <c r="AS241">
        <f t="shared" si="33"/>
        <v>0</v>
      </c>
      <c r="AT241"/>
      <c r="AU241"/>
      <c r="AV241"/>
      <c r="AW241"/>
      <c r="AX241"/>
      <c r="AY241"/>
      <c r="AZ241"/>
      <c r="BA241"/>
      <c r="BB241"/>
      <c r="BC241"/>
      <c r="BD241"/>
      <c r="BE241"/>
    </row>
    <row r="242" spans="2:57" ht="27" customHeight="1" x14ac:dyDescent="0.2">
      <c r="B242" s="332">
        <f t="shared" si="35"/>
        <v>31</v>
      </c>
      <c r="C242" s="381" t="s">
        <v>59</v>
      </c>
      <c r="D242" s="381" t="s">
        <v>83</v>
      </c>
      <c r="E242" s="374">
        <v>171.19</v>
      </c>
      <c r="F242" s="351">
        <v>9.6879999999999994E-2</v>
      </c>
      <c r="G242" s="286">
        <v>171.2</v>
      </c>
      <c r="H242" s="333">
        <v>9.7000000000000003E-2</v>
      </c>
      <c r="I242" s="746">
        <v>171.25</v>
      </c>
      <c r="J242" s="775">
        <v>9.8000000000000004E-2</v>
      </c>
      <c r="K242" s="558"/>
      <c r="L242" s="547"/>
      <c r="M242" s="453"/>
      <c r="AB242"/>
      <c r="AC242"/>
      <c r="AD242"/>
      <c r="AE242"/>
      <c r="AF242"/>
      <c r="AG242"/>
      <c r="AH242"/>
      <c r="AI242"/>
      <c r="AJ242"/>
      <c r="AK242"/>
      <c r="AL242"/>
      <c r="AM242"/>
      <c r="AN242"/>
      <c r="AO242"/>
      <c r="AP242" s="301"/>
      <c r="AQ242" s="313">
        <f t="shared" si="32"/>
        <v>170</v>
      </c>
      <c r="AR242">
        <f t="shared" si="36"/>
        <v>0</v>
      </c>
      <c r="AS242">
        <f t="shared" si="33"/>
        <v>0</v>
      </c>
      <c r="AT242"/>
      <c r="AU242"/>
      <c r="AV242"/>
      <c r="AW242"/>
      <c r="AX242"/>
      <c r="AY242"/>
      <c r="AZ242"/>
      <c r="BA242"/>
      <c r="BB242"/>
      <c r="BC242"/>
      <c r="BD242"/>
      <c r="BE242"/>
    </row>
    <row r="243" spans="2:57" ht="27" customHeight="1" x14ac:dyDescent="0.2">
      <c r="B243" s="332">
        <f t="shared" si="35"/>
        <v>32</v>
      </c>
      <c r="C243" s="381" t="s">
        <v>60</v>
      </c>
      <c r="D243" s="381" t="s">
        <v>84</v>
      </c>
      <c r="E243" s="374">
        <v>142.6</v>
      </c>
      <c r="F243" s="351">
        <v>9.157</v>
      </c>
      <c r="G243" s="286">
        <v>140.30000000000001</v>
      </c>
      <c r="H243" s="286">
        <v>9.1560000000000006</v>
      </c>
      <c r="I243" s="373">
        <v>139.44999999999999</v>
      </c>
      <c r="J243" s="777">
        <v>6.782</v>
      </c>
      <c r="K243" s="558"/>
      <c r="L243" s="526"/>
      <c r="M243" s="454"/>
      <c r="AB243"/>
      <c r="AC243"/>
      <c r="AD243"/>
      <c r="AE243"/>
      <c r="AF243"/>
      <c r="AG243"/>
      <c r="AH243"/>
      <c r="AI243"/>
      <c r="AJ243"/>
      <c r="AK243"/>
      <c r="AL243"/>
      <c r="AM243"/>
      <c r="AN243"/>
      <c r="AO243"/>
      <c r="AP243" s="301"/>
      <c r="AQ243" s="313">
        <f t="shared" si="32"/>
        <v>171</v>
      </c>
      <c r="AR243">
        <f t="shared" si="36"/>
        <v>0</v>
      </c>
      <c r="AS243">
        <f t="shared" si="33"/>
        <v>0</v>
      </c>
      <c r="AT243"/>
      <c r="AU243"/>
      <c r="AV243"/>
      <c r="AW243"/>
      <c r="AX243"/>
      <c r="AY243"/>
      <c r="AZ243"/>
      <c r="BA243"/>
      <c r="BB243"/>
      <c r="BC243"/>
      <c r="BD243"/>
      <c r="BE243"/>
    </row>
    <row r="244" spans="2:57" ht="27" customHeight="1" x14ac:dyDescent="0.2">
      <c r="B244" s="332">
        <f t="shared" si="35"/>
        <v>33</v>
      </c>
      <c r="C244" s="381" t="s">
        <v>61</v>
      </c>
      <c r="D244" s="381" t="s">
        <v>84</v>
      </c>
      <c r="E244" s="374">
        <v>239.5</v>
      </c>
      <c r="F244" s="351">
        <v>2.6720000000000002</v>
      </c>
      <c r="G244" s="286">
        <v>239.7</v>
      </c>
      <c r="H244" s="333">
        <v>2.8559999999999999</v>
      </c>
      <c r="I244" s="373">
        <v>239.03</v>
      </c>
      <c r="J244" s="777">
        <v>2.42</v>
      </c>
      <c r="K244" s="558"/>
      <c r="L244" s="526"/>
      <c r="M244" s="741"/>
      <c r="AB244"/>
      <c r="AC244"/>
      <c r="AD244"/>
      <c r="AE244"/>
      <c r="AF244"/>
      <c r="AG244"/>
      <c r="AH244"/>
      <c r="AI244"/>
      <c r="AJ244"/>
      <c r="AK244"/>
      <c r="AL244"/>
      <c r="AM244"/>
      <c r="AN244"/>
      <c r="AO244"/>
      <c r="AP244" s="301"/>
      <c r="AQ244" s="313">
        <f t="shared" si="32"/>
        <v>172</v>
      </c>
      <c r="AR244">
        <f t="shared" si="36"/>
        <v>0</v>
      </c>
      <c r="AS244">
        <f t="shared" si="33"/>
        <v>0</v>
      </c>
      <c r="AT244"/>
      <c r="AU244"/>
      <c r="AV244"/>
      <c r="AW244"/>
      <c r="AX244"/>
      <c r="AY244"/>
      <c r="AZ244"/>
      <c r="BA244"/>
      <c r="BB244"/>
      <c r="BC244"/>
      <c r="BD244"/>
      <c r="BE244"/>
    </row>
    <row r="245" spans="2:57" ht="27" customHeight="1" x14ac:dyDescent="0.2">
      <c r="B245" s="332">
        <f t="shared" si="35"/>
        <v>34</v>
      </c>
      <c r="C245" s="381" t="s">
        <v>62</v>
      </c>
      <c r="D245" s="381" t="s">
        <v>85</v>
      </c>
      <c r="E245" s="374">
        <v>120.5</v>
      </c>
      <c r="F245" s="351">
        <v>3.677</v>
      </c>
      <c r="G245" s="286">
        <v>120.75</v>
      </c>
      <c r="H245" s="286">
        <v>4.1539999999999999</v>
      </c>
      <c r="I245" s="373">
        <v>120.57</v>
      </c>
      <c r="J245" s="774">
        <v>3.8109999999999999</v>
      </c>
      <c r="K245" s="558"/>
      <c r="L245" s="546"/>
      <c r="M245" s="452"/>
      <c r="AB245"/>
      <c r="AC245"/>
      <c r="AD245"/>
      <c r="AE245"/>
      <c r="AF245"/>
      <c r="AG245"/>
      <c r="AH245"/>
      <c r="AI245"/>
      <c r="AJ245"/>
      <c r="AK245"/>
      <c r="AL245"/>
      <c r="AM245"/>
      <c r="AN245"/>
      <c r="AO245"/>
      <c r="AP245" s="301"/>
      <c r="AQ245" s="313">
        <f t="shared" si="32"/>
        <v>173</v>
      </c>
      <c r="AR245">
        <f t="shared" si="36"/>
        <v>0</v>
      </c>
      <c r="AS245">
        <f t="shared" si="33"/>
        <v>0</v>
      </c>
      <c r="AT245"/>
      <c r="AU245"/>
      <c r="AV245"/>
      <c r="AW245"/>
      <c r="AX245"/>
      <c r="AY245"/>
      <c r="AZ245"/>
      <c r="BA245"/>
      <c r="BB245"/>
      <c r="BC245"/>
      <c r="BD245"/>
      <c r="BE245"/>
    </row>
    <row r="246" spans="2:57" ht="27" customHeight="1" x14ac:dyDescent="0.2">
      <c r="B246" s="332">
        <f t="shared" si="35"/>
        <v>35</v>
      </c>
      <c r="C246" s="381" t="s">
        <v>63</v>
      </c>
      <c r="D246" s="381" t="s">
        <v>86</v>
      </c>
      <c r="E246" s="374">
        <v>110.56</v>
      </c>
      <c r="F246" s="351">
        <v>2.75</v>
      </c>
      <c r="G246" s="286">
        <v>110.36</v>
      </c>
      <c r="H246" s="286">
        <v>2.371</v>
      </c>
      <c r="I246" s="373">
        <v>110.54</v>
      </c>
      <c r="J246" s="774">
        <v>2.7120000000000002</v>
      </c>
      <c r="K246" s="558"/>
      <c r="L246" s="546"/>
      <c r="M246" s="452"/>
      <c r="AB246"/>
      <c r="AC246"/>
      <c r="AD246"/>
      <c r="AE246"/>
      <c r="AF246"/>
      <c r="AG246"/>
      <c r="AH246"/>
      <c r="AI246"/>
      <c r="AJ246"/>
      <c r="AK246"/>
      <c r="AL246"/>
      <c r="AM246"/>
      <c r="AN246"/>
      <c r="AO246"/>
      <c r="AP246" s="301"/>
      <c r="AQ246" s="313">
        <f t="shared" si="32"/>
        <v>174</v>
      </c>
      <c r="AR246">
        <f t="shared" si="36"/>
        <v>0</v>
      </c>
      <c r="AS246">
        <f t="shared" si="33"/>
        <v>0</v>
      </c>
      <c r="AT246"/>
      <c r="AU246"/>
      <c r="AV246"/>
      <c r="AW246"/>
      <c r="AX246"/>
      <c r="AY246"/>
      <c r="AZ246"/>
      <c r="BA246"/>
      <c r="BB246"/>
      <c r="BC246"/>
      <c r="BD246"/>
      <c r="BE246"/>
    </row>
    <row r="247" spans="2:57" ht="27" customHeight="1" x14ac:dyDescent="0.2">
      <c r="B247" s="332">
        <f t="shared" si="35"/>
        <v>36</v>
      </c>
      <c r="C247" s="381" t="s">
        <v>64</v>
      </c>
      <c r="D247" s="381" t="s">
        <v>87</v>
      </c>
      <c r="E247" s="374">
        <v>72</v>
      </c>
      <c r="F247" s="351">
        <v>38.036000000000001</v>
      </c>
      <c r="G247" s="286">
        <v>66.75</v>
      </c>
      <c r="H247" s="333">
        <v>24.373999999999999</v>
      </c>
      <c r="I247" s="373">
        <v>65.569999999999993</v>
      </c>
      <c r="J247" s="777">
        <v>22.172000000000001</v>
      </c>
      <c r="K247" s="558" t="s">
        <v>68</v>
      </c>
      <c r="L247" s="526"/>
      <c r="M247" s="454"/>
      <c r="AB247"/>
      <c r="AC247"/>
      <c r="AD247"/>
      <c r="AE247"/>
      <c r="AF247"/>
      <c r="AG247"/>
      <c r="AH247"/>
      <c r="AI247"/>
      <c r="AJ247"/>
      <c r="AK247"/>
      <c r="AL247"/>
      <c r="AM247"/>
      <c r="AN247"/>
      <c r="AO247"/>
      <c r="AP247" s="301"/>
      <c r="AQ247" s="313">
        <f t="shared" si="32"/>
        <v>175</v>
      </c>
      <c r="AR247">
        <f t="shared" si="36"/>
        <v>0</v>
      </c>
      <c r="AS247">
        <f t="shared" si="33"/>
        <v>0</v>
      </c>
      <c r="AT247"/>
      <c r="AU247"/>
      <c r="AV247"/>
      <c r="AW247"/>
      <c r="AX247"/>
      <c r="AY247"/>
      <c r="AZ247"/>
      <c r="BA247"/>
      <c r="BB247"/>
      <c r="BC247"/>
      <c r="BD247"/>
      <c r="BE247"/>
    </row>
    <row r="248" spans="2:57" ht="27" customHeight="1" x14ac:dyDescent="0.2">
      <c r="B248" s="332">
        <f t="shared" si="35"/>
        <v>37</v>
      </c>
      <c r="C248" s="381" t="s">
        <v>65</v>
      </c>
      <c r="D248" s="381" t="s">
        <v>87</v>
      </c>
      <c r="E248" s="374">
        <v>185</v>
      </c>
      <c r="F248" s="351">
        <v>388.72199999999998</v>
      </c>
      <c r="G248" s="286">
        <v>170.3</v>
      </c>
      <c r="H248" s="333">
        <v>246.3</v>
      </c>
      <c r="I248" s="373">
        <v>174.92</v>
      </c>
      <c r="J248" s="777">
        <v>289.31</v>
      </c>
      <c r="K248" s="558"/>
      <c r="L248" s="526"/>
      <c r="M248" s="742"/>
      <c r="AB248"/>
      <c r="AC248"/>
      <c r="AD248"/>
      <c r="AE248"/>
      <c r="AF248"/>
      <c r="AG248"/>
      <c r="AH248"/>
      <c r="AI248"/>
      <c r="AJ248"/>
      <c r="AK248"/>
      <c r="AL248"/>
      <c r="AM248"/>
      <c r="AN248"/>
      <c r="AO248"/>
      <c r="AP248" s="301"/>
      <c r="AQ248" s="313">
        <f t="shared" si="32"/>
        <v>176</v>
      </c>
      <c r="AR248">
        <f t="shared" si="36"/>
        <v>0</v>
      </c>
      <c r="AS248">
        <f t="shared" si="33"/>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229</v>
      </c>
      <c r="H249" s="333">
        <v>5.181</v>
      </c>
      <c r="I249" s="373">
        <v>229.69</v>
      </c>
      <c r="J249" s="777">
        <v>8.6080000000000005</v>
      </c>
      <c r="K249" s="558"/>
      <c r="L249" s="526"/>
      <c r="M249" s="454"/>
      <c r="AB249"/>
      <c r="AC249"/>
      <c r="AD249"/>
      <c r="AE249"/>
      <c r="AF249"/>
      <c r="AG249"/>
      <c r="AH249"/>
      <c r="AI249"/>
      <c r="AJ249"/>
      <c r="AK249"/>
      <c r="AL249"/>
      <c r="AM249"/>
      <c r="AN249"/>
      <c r="AO249"/>
      <c r="AP249" s="301"/>
      <c r="AQ249" s="313">
        <f t="shared" si="32"/>
        <v>177</v>
      </c>
      <c r="AR249">
        <f t="shared" si="36"/>
        <v>0</v>
      </c>
      <c r="AS249">
        <f t="shared" si="33"/>
        <v>0</v>
      </c>
      <c r="AT249"/>
      <c r="AU249"/>
      <c r="AV249"/>
      <c r="AW249"/>
      <c r="AX249"/>
      <c r="AY249"/>
      <c r="AZ249"/>
      <c r="BA249"/>
      <c r="BB249"/>
      <c r="BC249"/>
      <c r="BD249"/>
      <c r="BE249"/>
    </row>
    <row r="250" spans="2:57" ht="27" customHeight="1" x14ac:dyDescent="0.2">
      <c r="B250" s="330">
        <v>39</v>
      </c>
      <c r="C250" s="331" t="s">
        <v>212</v>
      </c>
      <c r="D250" s="331" t="s">
        <v>76</v>
      </c>
      <c r="E250" s="352">
        <v>149.30000000000001</v>
      </c>
      <c r="F250" s="377">
        <v>17.670000000000002</v>
      </c>
      <c r="G250" s="352">
        <v>146.06</v>
      </c>
      <c r="H250" s="377">
        <v>8.5</v>
      </c>
      <c r="I250" s="352">
        <v>149.6</v>
      </c>
      <c r="J250" s="779">
        <v>11.23</v>
      </c>
      <c r="K250" s="558"/>
      <c r="L250" s="548"/>
      <c r="M250" s="455"/>
      <c r="AB250"/>
      <c r="AC250"/>
      <c r="AD250"/>
      <c r="AE250"/>
      <c r="AF250"/>
      <c r="AG250"/>
      <c r="AH250"/>
      <c r="AI250"/>
      <c r="AJ250"/>
      <c r="AK250"/>
      <c r="AL250"/>
      <c r="AM250"/>
      <c r="AN250"/>
      <c r="AO250"/>
      <c r="AP250" s="301"/>
      <c r="AQ250" s="313">
        <f t="shared" si="32"/>
        <v>178</v>
      </c>
      <c r="AR250">
        <f t="shared" si="36"/>
        <v>0</v>
      </c>
      <c r="AS250">
        <f t="shared" si="33"/>
        <v>0</v>
      </c>
      <c r="AT250"/>
      <c r="AU250"/>
      <c r="AV250"/>
      <c r="AW250"/>
      <c r="AX250"/>
      <c r="AY250"/>
      <c r="AZ250"/>
      <c r="BA250"/>
      <c r="BB250"/>
      <c r="BC250"/>
      <c r="BD250"/>
      <c r="BE250"/>
    </row>
    <row r="251" spans="2:57" ht="27" customHeight="1" x14ac:dyDescent="0.25">
      <c r="B251" s="332">
        <f>+B250+1</f>
        <v>40</v>
      </c>
      <c r="C251" s="381" t="s">
        <v>213</v>
      </c>
      <c r="D251" s="381" t="s">
        <v>80</v>
      </c>
      <c r="E251" s="374">
        <v>39</v>
      </c>
      <c r="F251" s="351">
        <v>0.47399999999999998</v>
      </c>
      <c r="G251" s="374"/>
      <c r="H251" s="351"/>
      <c r="I251" s="749">
        <v>38.75</v>
      </c>
      <c r="J251" s="774">
        <v>0.44440000000000002</v>
      </c>
      <c r="K251" s="558"/>
      <c r="L251" s="549"/>
      <c r="M251" s="452"/>
      <c r="AB251"/>
      <c r="AC251"/>
      <c r="AD251"/>
      <c r="AE251"/>
      <c r="AF251"/>
      <c r="AG251"/>
      <c r="AH251"/>
      <c r="AI251"/>
      <c r="AJ251"/>
      <c r="AK251"/>
      <c r="AL251"/>
      <c r="AM251"/>
      <c r="AN251"/>
      <c r="AO251"/>
      <c r="AP251" s="301"/>
      <c r="AQ251" s="313">
        <f t="shared" si="32"/>
        <v>179</v>
      </c>
      <c r="AR251">
        <f t="shared" si="36"/>
        <v>0</v>
      </c>
      <c r="AS251">
        <f t="shared" si="33"/>
        <v>0</v>
      </c>
      <c r="AT251"/>
      <c r="AU251"/>
      <c r="AV251"/>
      <c r="AW251"/>
      <c r="AX251"/>
      <c r="AY251"/>
      <c r="AZ251"/>
      <c r="BA251"/>
      <c r="BB251"/>
      <c r="BC251"/>
      <c r="BD251"/>
      <c r="BE251"/>
    </row>
    <row r="252" spans="2:57" ht="27" customHeight="1" thickBot="1" x14ac:dyDescent="0.3">
      <c r="B252" s="334">
        <v>41</v>
      </c>
      <c r="C252" s="335" t="s">
        <v>214</v>
      </c>
      <c r="D252" s="335" t="s">
        <v>80</v>
      </c>
      <c r="E252" s="382">
        <v>70</v>
      </c>
      <c r="F252" s="353">
        <v>0.81699999999999995</v>
      </c>
      <c r="G252" s="382"/>
      <c r="H252" s="353"/>
      <c r="I252" s="744">
        <v>70</v>
      </c>
      <c r="J252" s="774">
        <v>0.747</v>
      </c>
      <c r="K252" s="555"/>
      <c r="L252" s="550"/>
      <c r="M252" s="452"/>
      <c r="AB252"/>
      <c r="AC252"/>
      <c r="AD252"/>
      <c r="AE252"/>
      <c r="AF252"/>
      <c r="AG252"/>
      <c r="AH252"/>
      <c r="AI252"/>
      <c r="AJ252"/>
      <c r="AK252"/>
      <c r="AL252"/>
      <c r="AM252"/>
      <c r="AN252"/>
      <c r="AO252"/>
      <c r="AP252" s="301"/>
      <c r="AQ252" s="313">
        <f t="shared" si="32"/>
        <v>180</v>
      </c>
      <c r="AR252">
        <f t="shared" si="36"/>
        <v>0</v>
      </c>
      <c r="AS252">
        <f t="shared" si="33"/>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1047.3910000000001</v>
      </c>
      <c r="I253" s="355"/>
      <c r="J253" s="765">
        <f>SUM(J212:J252)</f>
        <v>1309.3504000000003</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66">
        <f>IFERROR(+J253/H253,0)</f>
        <v>1.2501065982044912</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216</v>
      </c>
      <c r="D255" s="339"/>
      <c r="E255" s="422">
        <v>1736.79</v>
      </c>
      <c r="F255" s="360">
        <v>1</v>
      </c>
      <c r="G255" s="361" t="s">
        <v>68</v>
      </c>
      <c r="H255" s="360">
        <f>+H253/F253*100%</f>
        <v>0.57743046349665439</v>
      </c>
      <c r="I255" s="362"/>
      <c r="J255" s="767">
        <f>+J253/F253</f>
        <v>0.72184963242144529</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217</v>
      </c>
      <c r="D256" s="339"/>
      <c r="E256" s="378">
        <f>F253-E255</f>
        <v>77.092478000000028</v>
      </c>
      <c r="F256" s="552"/>
      <c r="G256" s="553"/>
      <c r="H256" s="552"/>
      <c r="I256" s="756"/>
      <c r="J256" s="757"/>
      <c r="K256" s="554"/>
      <c r="L256" s="341"/>
      <c r="M256" s="278"/>
      <c r="AB256"/>
      <c r="AC256"/>
      <c r="AD256"/>
      <c r="AE256"/>
      <c r="AF256"/>
      <c r="AG256"/>
      <c r="AH256"/>
      <c r="AI256"/>
      <c r="AJ256"/>
      <c r="AK256"/>
      <c r="AL256"/>
      <c r="AM256"/>
      <c r="AN256"/>
      <c r="AO256"/>
      <c r="AP256" s="301"/>
      <c r="AQ256" s="313">
        <f>AQ252+1</f>
        <v>181</v>
      </c>
      <c r="AR256">
        <f>IF(AH35="tad","tad",AH35)</f>
        <v>0</v>
      </c>
      <c r="AS256">
        <f t="shared" si="33"/>
        <v>0</v>
      </c>
      <c r="AT256"/>
      <c r="AU256"/>
      <c r="AV256"/>
      <c r="AW256"/>
      <c r="AX256"/>
      <c r="AY256"/>
      <c r="AZ256"/>
      <c r="BA256"/>
      <c r="BB256"/>
      <c r="BC256"/>
      <c r="BD256"/>
      <c r="BE256"/>
    </row>
    <row r="257" spans="2:57" ht="27" customHeight="1" thickBot="1" x14ac:dyDescent="0.25">
      <c r="B257" s="327"/>
      <c r="C257" s="289"/>
      <c r="D257" s="289"/>
      <c r="E257" s="289"/>
      <c r="F257" s="569">
        <v>23</v>
      </c>
      <c r="G257" s="620" t="s">
        <v>258</v>
      </c>
      <c r="H257" s="569">
        <v>2022</v>
      </c>
      <c r="I257" s="758"/>
      <c r="J257" s="758"/>
      <c r="K257" s="344"/>
      <c r="L257" s="345"/>
      <c r="M257" s="279"/>
      <c r="AB257"/>
      <c r="AC257"/>
      <c r="AD257"/>
      <c r="AE257"/>
      <c r="AF257"/>
      <c r="AG257"/>
      <c r="AH257"/>
      <c r="AI257"/>
      <c r="AJ257"/>
      <c r="AK257"/>
      <c r="AL257"/>
      <c r="AM257"/>
      <c r="AN257"/>
      <c r="AO257"/>
      <c r="AP257" s="301"/>
      <c r="AQ257" s="313">
        <f t="shared" si="32"/>
        <v>182</v>
      </c>
      <c r="AR257">
        <f>IF(AH36="tad","tad",AH36)</f>
        <v>0</v>
      </c>
      <c r="AS257">
        <f t="shared" si="33"/>
        <v>0</v>
      </c>
      <c r="AT257"/>
      <c r="AU257"/>
      <c r="AV257"/>
      <c r="AW257"/>
      <c r="AX257"/>
      <c r="AY257"/>
      <c r="AZ257"/>
      <c r="BA257"/>
      <c r="BB257"/>
      <c r="BC257"/>
      <c r="BD257"/>
      <c r="BE257"/>
    </row>
    <row r="258" spans="2:57" ht="27" customHeight="1" x14ac:dyDescent="0.2">
      <c r="B258" s="426" t="s">
        <v>18</v>
      </c>
      <c r="C258" s="429" t="s">
        <v>19</v>
      </c>
      <c r="D258" s="429" t="s">
        <v>73</v>
      </c>
      <c r="E258" s="915" t="s">
        <v>20</v>
      </c>
      <c r="F258" s="916"/>
      <c r="G258" s="915" t="s">
        <v>94</v>
      </c>
      <c r="H258" s="916"/>
      <c r="I258" s="917" t="s">
        <v>22</v>
      </c>
      <c r="J258" s="918"/>
      <c r="K258" s="423" t="s">
        <v>160</v>
      </c>
      <c r="L258" s="346"/>
      <c r="M258" s="278"/>
      <c r="AB258"/>
      <c r="AC258"/>
      <c r="AD258"/>
      <c r="AE258"/>
      <c r="AF258"/>
      <c r="AG258"/>
      <c r="AH258"/>
      <c r="AI258"/>
      <c r="AJ258"/>
      <c r="AK258"/>
      <c r="AL258"/>
      <c r="AM258"/>
      <c r="AN258"/>
      <c r="AO258"/>
      <c r="AP258" s="301"/>
      <c r="AQ258" s="313">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59" t="s">
        <v>24</v>
      </c>
      <c r="J259" s="760" t="s">
        <v>25</v>
      </c>
      <c r="K259" s="424"/>
      <c r="L259" s="346"/>
      <c r="M259" s="278"/>
      <c r="AB259"/>
      <c r="AC259"/>
      <c r="AD259"/>
      <c r="AE259"/>
      <c r="AF259"/>
      <c r="AG259"/>
      <c r="AH259"/>
      <c r="AI259"/>
      <c r="AJ259"/>
      <c r="AK259"/>
      <c r="AL259"/>
      <c r="AM259"/>
      <c r="AN259"/>
      <c r="AO259"/>
      <c r="AP259" s="301"/>
      <c r="AQ259" s="313">
        <f t="shared" si="32"/>
        <v>184</v>
      </c>
      <c r="AR259">
        <f t="shared" si="37"/>
        <v>0</v>
      </c>
      <c r="AS259">
        <f t="shared" si="33"/>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61" t="s">
        <v>26</v>
      </c>
      <c r="J260" s="762" t="s">
        <v>155</v>
      </c>
      <c r="K260" s="425"/>
      <c r="L260" s="346"/>
      <c r="M260" s="279"/>
      <c r="AB260"/>
      <c r="AC260"/>
      <c r="AD260"/>
      <c r="AE260"/>
      <c r="AF260"/>
      <c r="AG260"/>
      <c r="AH260"/>
      <c r="AI260"/>
      <c r="AJ260"/>
      <c r="AK260"/>
      <c r="AL260"/>
      <c r="AM260"/>
      <c r="AN260"/>
      <c r="AO260"/>
      <c r="AP260" s="301"/>
      <c r="AQ260" s="313">
        <f t="shared" si="32"/>
        <v>185</v>
      </c>
      <c r="AR260">
        <f t="shared" si="37"/>
        <v>0</v>
      </c>
      <c r="AS260">
        <f t="shared" si="33"/>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63">
        <v>8</v>
      </c>
      <c r="J261" s="763">
        <v>9</v>
      </c>
      <c r="K261" s="347">
        <v>10</v>
      </c>
      <c r="L261" s="346"/>
      <c r="M261" s="279"/>
      <c r="AB261"/>
      <c r="AC261"/>
      <c r="AD261"/>
      <c r="AE261"/>
      <c r="AF261"/>
      <c r="AG261"/>
      <c r="AH261"/>
      <c r="AI261"/>
      <c r="AJ261"/>
      <c r="AK261"/>
      <c r="AL261"/>
      <c r="AM261"/>
      <c r="AN261"/>
      <c r="AO261"/>
      <c r="AP261" s="301"/>
      <c r="AQ261" s="313">
        <f t="shared" si="32"/>
        <v>186</v>
      </c>
      <c r="AR261">
        <f t="shared" si="37"/>
        <v>0</v>
      </c>
      <c r="AS261">
        <f t="shared" si="33"/>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55.73</v>
      </c>
      <c r="H262" s="285">
        <v>30.89</v>
      </c>
      <c r="I262" s="764">
        <v>55.36</v>
      </c>
      <c r="J262" s="764">
        <v>28.797999999999998</v>
      </c>
      <c r="K262" s="563" t="s">
        <v>179</v>
      </c>
      <c r="L262" s="446"/>
      <c r="M262" s="446"/>
      <c r="AB262"/>
      <c r="AC262"/>
      <c r="AD262"/>
      <c r="AE262"/>
      <c r="AF262"/>
      <c r="AG262"/>
      <c r="AH262"/>
      <c r="AI262"/>
      <c r="AJ262"/>
      <c r="AK262"/>
      <c r="AL262"/>
      <c r="AM262"/>
      <c r="AN262"/>
      <c r="AO262"/>
      <c r="AP262" s="301"/>
      <c r="AQ262" s="313">
        <f t="shared" si="32"/>
        <v>187</v>
      </c>
      <c r="AR262">
        <f t="shared" si="37"/>
        <v>0</v>
      </c>
      <c r="AS262">
        <f t="shared" si="33"/>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338.7</v>
      </c>
      <c r="H263" s="333">
        <v>7.0949999999999998</v>
      </c>
      <c r="I263" s="373">
        <v>339.1</v>
      </c>
      <c r="J263" s="771">
        <v>7.4349999999999996</v>
      </c>
      <c r="K263" s="563" t="s">
        <v>180</v>
      </c>
      <c r="L263" s="447"/>
      <c r="M263" s="447"/>
      <c r="AB263"/>
      <c r="AC263"/>
      <c r="AD263"/>
      <c r="AE263"/>
      <c r="AF263"/>
      <c r="AG263"/>
      <c r="AH263"/>
      <c r="AI263"/>
      <c r="AJ263"/>
      <c r="AK263"/>
      <c r="AL263"/>
      <c r="AM263"/>
      <c r="AN263"/>
      <c r="AO263"/>
      <c r="AP263" s="301"/>
      <c r="AQ263" s="313">
        <f t="shared" si="32"/>
        <v>188</v>
      </c>
      <c r="AR263">
        <f t="shared" si="37"/>
        <v>0</v>
      </c>
      <c r="AS263">
        <f t="shared" si="33"/>
        <v>0</v>
      </c>
      <c r="AT263"/>
      <c r="AU263"/>
      <c r="AV263"/>
      <c r="AW263"/>
      <c r="AX263"/>
      <c r="AY263"/>
      <c r="AZ263"/>
      <c r="BA263"/>
      <c r="BB263"/>
      <c r="BC263"/>
      <c r="BD263"/>
      <c r="BE263"/>
    </row>
    <row r="264" spans="2:57" ht="27" customHeight="1" x14ac:dyDescent="0.2">
      <c r="B264" s="332">
        <f t="shared" ref="B264:B298" si="38">+B263+1</f>
        <v>3</v>
      </c>
      <c r="C264" s="381" t="s">
        <v>30</v>
      </c>
      <c r="D264" s="381" t="s">
        <v>75</v>
      </c>
      <c r="E264" s="374">
        <v>77.5</v>
      </c>
      <c r="F264" s="351">
        <v>49.02</v>
      </c>
      <c r="G264" s="286">
        <v>74.11</v>
      </c>
      <c r="H264" s="333">
        <v>29.640999999999998</v>
      </c>
      <c r="I264" s="373">
        <v>77.599999999999994</v>
      </c>
      <c r="J264" s="771">
        <v>49.677</v>
      </c>
      <c r="K264" s="563" t="s">
        <v>30</v>
      </c>
      <c r="L264" s="447"/>
      <c r="M264" s="447"/>
      <c r="AB264"/>
      <c r="AC264"/>
      <c r="AD264"/>
      <c r="AE264"/>
      <c r="AF264"/>
      <c r="AG264"/>
      <c r="AH264"/>
      <c r="AI264"/>
      <c r="AJ264"/>
      <c r="AK264"/>
      <c r="AL264"/>
      <c r="AM264"/>
      <c r="AN264"/>
      <c r="AO264"/>
      <c r="AP264" s="301"/>
      <c r="AQ264" s="313">
        <f t="shared" si="32"/>
        <v>189</v>
      </c>
      <c r="AR264">
        <f t="shared" si="37"/>
        <v>0</v>
      </c>
      <c r="AS264">
        <f t="shared" si="33"/>
        <v>0</v>
      </c>
      <c r="AT264"/>
      <c r="AU264"/>
      <c r="AV264"/>
      <c r="AW264"/>
      <c r="AX264"/>
      <c r="AY264"/>
      <c r="AZ264"/>
      <c r="BA264"/>
      <c r="BB264"/>
      <c r="BC264"/>
      <c r="BD264"/>
      <c r="BE264"/>
    </row>
    <row r="265" spans="2:57" ht="27" customHeight="1" x14ac:dyDescent="0.3">
      <c r="B265" s="332">
        <f t="shared" si="38"/>
        <v>4</v>
      </c>
      <c r="C265" s="381" t="s">
        <v>31</v>
      </c>
      <c r="D265" s="381" t="s">
        <v>76</v>
      </c>
      <c r="E265" s="374">
        <v>463.3</v>
      </c>
      <c r="F265" s="351">
        <v>49.9</v>
      </c>
      <c r="G265" s="373">
        <v>462.39</v>
      </c>
      <c r="H265" s="373">
        <v>35.720999999999997</v>
      </c>
      <c r="I265" s="351">
        <v>462.62</v>
      </c>
      <c r="J265" s="285">
        <v>40.143999999999998</v>
      </c>
      <c r="K265" s="421"/>
      <c r="L265" s="537"/>
      <c r="M265" s="448"/>
      <c r="N265" s="436"/>
      <c r="AB265"/>
      <c r="AC265"/>
      <c r="AD265"/>
      <c r="AE265"/>
      <c r="AF265"/>
      <c r="AG265"/>
      <c r="AH265"/>
      <c r="AI265"/>
      <c r="AJ265"/>
      <c r="AK265"/>
      <c r="AL265"/>
      <c r="AM265"/>
      <c r="AN265"/>
      <c r="AO265"/>
      <c r="AP265" s="301"/>
      <c r="AQ265" s="313">
        <f t="shared" si="32"/>
        <v>190</v>
      </c>
      <c r="AR265">
        <f t="shared" si="37"/>
        <v>0</v>
      </c>
      <c r="AS265">
        <f t="shared" si="33"/>
        <v>0</v>
      </c>
      <c r="AT265"/>
      <c r="AU265"/>
      <c r="AV265"/>
      <c r="AW265"/>
      <c r="AX265"/>
      <c r="AY265"/>
      <c r="AZ265"/>
      <c r="BA265"/>
      <c r="BB265"/>
      <c r="BC265"/>
      <c r="BD265"/>
      <c r="BE265"/>
    </row>
    <row r="266" spans="2:57" ht="27" customHeight="1" x14ac:dyDescent="0.25">
      <c r="B266" s="332">
        <f t="shared" si="38"/>
        <v>5</v>
      </c>
      <c r="C266" s="381" t="s">
        <v>32</v>
      </c>
      <c r="D266" s="381" t="s">
        <v>77</v>
      </c>
      <c r="E266" s="374">
        <v>207</v>
      </c>
      <c r="F266" s="351">
        <v>9.5030000000000001</v>
      </c>
      <c r="G266" s="286">
        <v>205.3</v>
      </c>
      <c r="H266" s="287">
        <v>7.3540000000000001</v>
      </c>
      <c r="I266" s="725">
        <v>206.3</v>
      </c>
      <c r="J266" s="285">
        <v>8.67</v>
      </c>
      <c r="K266" s="421" t="s">
        <v>191</v>
      </c>
      <c r="L266" s="551"/>
      <c r="M266" s="449"/>
      <c r="AB266"/>
      <c r="AC266"/>
      <c r="AD266"/>
      <c r="AE266"/>
      <c r="AF266"/>
      <c r="AG266"/>
      <c r="AH266"/>
      <c r="AI266"/>
      <c r="AJ266"/>
      <c r="AK266"/>
      <c r="AL266"/>
      <c r="AM266"/>
      <c r="AN266"/>
      <c r="AO266"/>
      <c r="AP266" s="301"/>
      <c r="AQ266" s="313">
        <f t="shared" si="32"/>
        <v>191</v>
      </c>
      <c r="AR266">
        <f t="shared" si="37"/>
        <v>0</v>
      </c>
      <c r="AS266">
        <f t="shared" si="33"/>
        <v>0</v>
      </c>
      <c r="AT266"/>
      <c r="AU266"/>
      <c r="AV266"/>
      <c r="AW266"/>
      <c r="AX266"/>
      <c r="AY266"/>
      <c r="AZ266"/>
      <c r="BA266"/>
      <c r="BB266"/>
      <c r="BC266"/>
      <c r="BD266"/>
      <c r="BE266"/>
    </row>
    <row r="267" spans="2:57" ht="27" customHeight="1" x14ac:dyDescent="0.25">
      <c r="B267" s="332">
        <f t="shared" si="38"/>
        <v>6</v>
      </c>
      <c r="C267" s="381" t="s">
        <v>33</v>
      </c>
      <c r="D267" s="381" t="s">
        <v>77</v>
      </c>
      <c r="E267" s="374">
        <v>320</v>
      </c>
      <c r="F267" s="351">
        <v>5.1509999999999998</v>
      </c>
      <c r="G267" s="286">
        <v>316.26</v>
      </c>
      <c r="H267" s="287">
        <v>3.4660000000000002</v>
      </c>
      <c r="I267" s="725">
        <v>317.35000000000002</v>
      </c>
      <c r="J267" s="285">
        <v>3.9460000000000002</v>
      </c>
      <c r="K267" s="421" t="s">
        <v>191</v>
      </c>
      <c r="L267" s="539"/>
      <c r="M267" s="450"/>
      <c r="AB267"/>
      <c r="AC267"/>
      <c r="AD267"/>
      <c r="AE267"/>
      <c r="AF267"/>
      <c r="AG267"/>
      <c r="AH267"/>
      <c r="AI267"/>
      <c r="AJ267"/>
      <c r="AK267"/>
      <c r="AL267"/>
      <c r="AM267"/>
      <c r="AN267"/>
      <c r="AO267"/>
      <c r="AP267" s="301"/>
      <c r="AQ267" s="313">
        <f t="shared" si="32"/>
        <v>192</v>
      </c>
      <c r="AR267">
        <f t="shared" si="37"/>
        <v>0</v>
      </c>
      <c r="AS267">
        <f t="shared" si="33"/>
        <v>0</v>
      </c>
      <c r="AT267"/>
      <c r="AU267"/>
      <c r="AV267"/>
      <c r="AW267"/>
      <c r="AX267"/>
      <c r="AY267"/>
      <c r="AZ267"/>
      <c r="BA267"/>
      <c r="BB267"/>
      <c r="BC267"/>
      <c r="BD267"/>
      <c r="BE267"/>
    </row>
    <row r="268" spans="2:57" ht="27" customHeight="1" x14ac:dyDescent="0.25">
      <c r="B268" s="332">
        <f t="shared" si="38"/>
        <v>7</v>
      </c>
      <c r="C268" s="381" t="s">
        <v>34</v>
      </c>
      <c r="D268" s="381" t="s">
        <v>78</v>
      </c>
      <c r="E268" s="374">
        <v>90</v>
      </c>
      <c r="F268" s="351">
        <v>689.09100000000001</v>
      </c>
      <c r="G268" s="286">
        <v>85.14</v>
      </c>
      <c r="H268" s="286">
        <v>466.26100000000002</v>
      </c>
      <c r="I268" s="725">
        <v>88.31</v>
      </c>
      <c r="J268" s="285">
        <v>602.16200000000003</v>
      </c>
      <c r="K268" s="421"/>
      <c r="L268" s="551"/>
      <c r="M268" s="451"/>
      <c r="AB268"/>
      <c r="AC268"/>
      <c r="AD268"/>
      <c r="AE268"/>
      <c r="AF268"/>
      <c r="AG268"/>
      <c r="AH268"/>
      <c r="AI268"/>
      <c r="AJ268"/>
      <c r="AK268"/>
      <c r="AL268"/>
      <c r="AM268"/>
      <c r="AN268"/>
      <c r="AO268"/>
      <c r="AP268" s="301"/>
      <c r="AQ268" s="313">
        <f t="shared" si="32"/>
        <v>193</v>
      </c>
      <c r="AR268">
        <f t="shared" si="37"/>
        <v>0</v>
      </c>
      <c r="AS268">
        <f t="shared" si="33"/>
        <v>0</v>
      </c>
      <c r="AT268"/>
      <c r="AU268"/>
      <c r="AV268"/>
      <c r="AW268"/>
      <c r="AX268"/>
      <c r="AY268"/>
      <c r="AZ268"/>
      <c r="BA268"/>
      <c r="BB268"/>
      <c r="BC268"/>
      <c r="BD268"/>
      <c r="BE268"/>
    </row>
    <row r="269" spans="2:57" ht="27" customHeight="1" x14ac:dyDescent="0.2">
      <c r="B269" s="332">
        <f t="shared" si="38"/>
        <v>8</v>
      </c>
      <c r="C269" s="381" t="s">
        <v>35</v>
      </c>
      <c r="D269" s="381" t="s">
        <v>79</v>
      </c>
      <c r="E269" s="374">
        <v>120.5</v>
      </c>
      <c r="F269" s="351">
        <v>2.0920000000000001</v>
      </c>
      <c r="G269" s="286">
        <v>118.44</v>
      </c>
      <c r="H269" s="333">
        <v>1.232</v>
      </c>
      <c r="I269" s="375">
        <v>117.33</v>
      </c>
      <c r="J269" s="285">
        <v>0.64900000000000002</v>
      </c>
      <c r="K269" s="443" t="s">
        <v>191</v>
      </c>
      <c r="L269" s="539"/>
      <c r="M269" s="450"/>
      <c r="AB269"/>
      <c r="AC269"/>
      <c r="AD269"/>
      <c r="AE269"/>
      <c r="AF269"/>
      <c r="AG269"/>
      <c r="AH269"/>
      <c r="AI269"/>
      <c r="AJ269"/>
      <c r="AK269"/>
      <c r="AL269"/>
      <c r="AM269"/>
      <c r="AN269"/>
      <c r="AO269"/>
      <c r="AP269" s="301"/>
      <c r="AQ269" s="313">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332">
        <f t="shared" si="38"/>
        <v>9</v>
      </c>
      <c r="C270" s="381" t="s">
        <v>36</v>
      </c>
      <c r="D270" s="381" t="s">
        <v>79</v>
      </c>
      <c r="E270" s="374">
        <v>120.8</v>
      </c>
      <c r="F270" s="351">
        <v>2.3530000000000002</v>
      </c>
      <c r="G270" s="286">
        <v>115.88</v>
      </c>
      <c r="H270" s="333">
        <v>0.96199999999999997</v>
      </c>
      <c r="I270" s="725">
        <v>116.38</v>
      </c>
      <c r="J270" s="285">
        <v>0.32300000000000001</v>
      </c>
      <c r="K270" s="443" t="s">
        <v>191</v>
      </c>
      <c r="L270" s="551"/>
      <c r="M270" s="451"/>
      <c r="AB270"/>
      <c r="AC270"/>
      <c r="AD270"/>
      <c r="AE270"/>
      <c r="AF270"/>
      <c r="AG270"/>
      <c r="AH270"/>
      <c r="AI270"/>
      <c r="AJ270"/>
      <c r="AK270"/>
      <c r="AL270"/>
      <c r="AM270"/>
      <c r="AN270"/>
      <c r="AO270"/>
      <c r="AP270" s="301"/>
      <c r="AQ270" s="313">
        <f t="shared" si="39"/>
        <v>195</v>
      </c>
      <c r="AR270">
        <f t="shared" si="37"/>
        <v>0</v>
      </c>
      <c r="AS270">
        <f t="shared" si="40"/>
        <v>0</v>
      </c>
      <c r="AT270"/>
      <c r="AU270"/>
      <c r="AV270"/>
      <c r="AW270"/>
      <c r="AX270"/>
      <c r="AY270"/>
      <c r="AZ270"/>
      <c r="BA270"/>
      <c r="BB270"/>
      <c r="BC270"/>
      <c r="BD270"/>
      <c r="BE270"/>
    </row>
    <row r="271" spans="2:57" ht="27" customHeight="1" x14ac:dyDescent="0.25">
      <c r="B271" s="332">
        <f t="shared" si="38"/>
        <v>10</v>
      </c>
      <c r="C271" s="381" t="s">
        <v>37</v>
      </c>
      <c r="D271" s="381" t="s">
        <v>80</v>
      </c>
      <c r="E271" s="374">
        <v>46.5</v>
      </c>
      <c r="F271" s="374">
        <v>4.5999999999999996</v>
      </c>
      <c r="G271" s="286">
        <v>42.79</v>
      </c>
      <c r="H271" s="286">
        <v>1.9059999999999999</v>
      </c>
      <c r="I271" s="725">
        <v>42.58</v>
      </c>
      <c r="J271" s="285">
        <v>0.50700000000000001</v>
      </c>
      <c r="K271" s="443" t="s">
        <v>191</v>
      </c>
      <c r="L271" s="551"/>
      <c r="M271" s="451"/>
      <c r="AB271"/>
      <c r="AC271"/>
      <c r="AD271"/>
      <c r="AE271"/>
      <c r="AF271"/>
      <c r="AG271"/>
      <c r="AH271"/>
      <c r="AI271"/>
      <c r="AJ271"/>
      <c r="AK271"/>
      <c r="AL271"/>
      <c r="AM271"/>
      <c r="AN271"/>
      <c r="AO271"/>
      <c r="AP271" s="301"/>
      <c r="AQ271" s="313">
        <f t="shared" si="39"/>
        <v>196</v>
      </c>
      <c r="AR271">
        <f t="shared" si="37"/>
        <v>0</v>
      </c>
      <c r="AS271">
        <f t="shared" si="40"/>
        <v>0</v>
      </c>
      <c r="AT271"/>
      <c r="AU271"/>
      <c r="AV271"/>
      <c r="AW271"/>
      <c r="AX271"/>
      <c r="AY271"/>
      <c r="AZ271"/>
      <c r="BA271"/>
      <c r="BB271"/>
      <c r="BC271"/>
      <c r="BD271"/>
      <c r="BE271"/>
    </row>
    <row r="272" spans="2:57" ht="27" customHeight="1" x14ac:dyDescent="0.25">
      <c r="B272" s="332">
        <f t="shared" si="38"/>
        <v>11</v>
      </c>
      <c r="C272" s="381" t="s">
        <v>39</v>
      </c>
      <c r="D272" s="381" t="s">
        <v>80</v>
      </c>
      <c r="E272" s="374">
        <v>51.5</v>
      </c>
      <c r="F272" s="351">
        <v>2.4159999999999999</v>
      </c>
      <c r="G272" s="286">
        <v>48.52</v>
      </c>
      <c r="H272" s="286">
        <v>1.4239999999999999</v>
      </c>
      <c r="I272" s="729">
        <v>49.68</v>
      </c>
      <c r="J272" s="285">
        <v>1.8029999999999999</v>
      </c>
      <c r="K272" s="443" t="s">
        <v>191</v>
      </c>
      <c r="L272" s="551"/>
      <c r="M272" s="451"/>
      <c r="AB272"/>
      <c r="AC272"/>
      <c r="AD272"/>
      <c r="AE272"/>
      <c r="AF272"/>
      <c r="AG272"/>
      <c r="AH272"/>
      <c r="AI272"/>
      <c r="AJ272"/>
      <c r="AK272"/>
      <c r="AL272"/>
      <c r="AM272"/>
      <c r="AN272"/>
      <c r="AO272"/>
      <c r="AP272" s="301"/>
      <c r="AQ272" s="313">
        <f t="shared" si="39"/>
        <v>197</v>
      </c>
      <c r="AR272">
        <f t="shared" si="37"/>
        <v>0</v>
      </c>
      <c r="AS272">
        <f t="shared" si="40"/>
        <v>0</v>
      </c>
      <c r="AT272"/>
      <c r="AU272"/>
      <c r="AV272"/>
      <c r="AW272"/>
      <c r="AX272"/>
      <c r="AY272"/>
      <c r="AZ272"/>
      <c r="BA272"/>
      <c r="BB272"/>
      <c r="BC272"/>
      <c r="BD272"/>
      <c r="BE272"/>
    </row>
    <row r="273" spans="2:57" ht="27" customHeight="1" x14ac:dyDescent="0.25">
      <c r="B273" s="332">
        <f t="shared" si="38"/>
        <v>12</v>
      </c>
      <c r="C273" s="381" t="s">
        <v>40</v>
      </c>
      <c r="D273" s="381" t="s">
        <v>78</v>
      </c>
      <c r="E273" s="374">
        <v>81</v>
      </c>
      <c r="F273" s="351">
        <v>1.093</v>
      </c>
      <c r="G273" s="286">
        <v>79.91</v>
      </c>
      <c r="H273" s="333">
        <v>0.745</v>
      </c>
      <c r="I273" s="725">
        <v>78.59</v>
      </c>
      <c r="J273" s="285">
        <v>0.85</v>
      </c>
      <c r="K273" s="443" t="s">
        <v>191</v>
      </c>
      <c r="L273" s="551"/>
      <c r="M273" s="451"/>
      <c r="AB273"/>
      <c r="AC273"/>
      <c r="AD273"/>
      <c r="AE273"/>
      <c r="AF273"/>
      <c r="AG273"/>
      <c r="AH273"/>
      <c r="AI273"/>
      <c r="AJ273"/>
      <c r="AK273"/>
      <c r="AL273"/>
      <c r="AM273"/>
      <c r="AN273"/>
      <c r="AO273"/>
      <c r="AP273" s="301"/>
      <c r="AQ273" s="313">
        <f t="shared" si="39"/>
        <v>198</v>
      </c>
      <c r="AR273">
        <f t="shared" si="37"/>
        <v>0</v>
      </c>
      <c r="AS273">
        <f t="shared" si="40"/>
        <v>0</v>
      </c>
      <c r="AT273"/>
      <c r="AU273"/>
      <c r="AV273"/>
      <c r="AW273"/>
      <c r="AX273"/>
      <c r="AY273"/>
      <c r="AZ273"/>
      <c r="BA273"/>
      <c r="BB273"/>
      <c r="BC273"/>
      <c r="BD273"/>
      <c r="BE273"/>
    </row>
    <row r="274" spans="2:57" ht="27" customHeight="1" x14ac:dyDescent="0.25">
      <c r="B274" s="332">
        <f t="shared" si="38"/>
        <v>13</v>
      </c>
      <c r="C274" s="381" t="s">
        <v>41</v>
      </c>
      <c r="D274" s="381" t="s">
        <v>78</v>
      </c>
      <c r="E274" s="374">
        <v>82.8</v>
      </c>
      <c r="F274" s="351">
        <v>0.42899999999999999</v>
      </c>
      <c r="G274" s="286">
        <v>81.96</v>
      </c>
      <c r="H274" s="333">
        <v>0.30299999999999999</v>
      </c>
      <c r="I274" s="725">
        <v>81.52</v>
      </c>
      <c r="J274" s="285">
        <v>5.7000000000000002E-2</v>
      </c>
      <c r="K274" s="443" t="s">
        <v>191</v>
      </c>
      <c r="L274" s="551"/>
      <c r="M274" s="451"/>
      <c r="AB274"/>
      <c r="AC274"/>
      <c r="AD274"/>
      <c r="AE274"/>
      <c r="AF274"/>
      <c r="AG274"/>
      <c r="AH274"/>
      <c r="AI274"/>
      <c r="AJ274"/>
      <c r="AK274"/>
      <c r="AL274"/>
      <c r="AM274"/>
      <c r="AN274"/>
      <c r="AO274"/>
      <c r="AP274" s="301"/>
      <c r="AQ274" s="313">
        <f t="shared" si="39"/>
        <v>199</v>
      </c>
      <c r="AR274">
        <f t="shared" si="37"/>
        <v>0</v>
      </c>
      <c r="AS274">
        <f t="shared" si="40"/>
        <v>0</v>
      </c>
      <c r="AT274"/>
      <c r="AU274"/>
      <c r="AV274"/>
      <c r="AW274"/>
      <c r="AX274"/>
      <c r="AY274"/>
      <c r="AZ274"/>
      <c r="BA274"/>
      <c r="BB274"/>
      <c r="BC274"/>
      <c r="BD274"/>
      <c r="BE274"/>
    </row>
    <row r="275" spans="2:57" ht="27" customHeight="1" x14ac:dyDescent="0.25">
      <c r="B275" s="332">
        <f t="shared" si="38"/>
        <v>14</v>
      </c>
      <c r="C275" s="381" t="s">
        <v>42</v>
      </c>
      <c r="D275" s="381" t="s">
        <v>78</v>
      </c>
      <c r="E275" s="374">
        <v>69.95</v>
      </c>
      <c r="F275" s="351">
        <v>0.25</v>
      </c>
      <c r="G275" s="286">
        <v>69.47</v>
      </c>
      <c r="H275" s="286">
        <v>0.17599999999999999</v>
      </c>
      <c r="I275" s="725">
        <v>63.62</v>
      </c>
      <c r="J275" s="285">
        <v>0.20699999999999999</v>
      </c>
      <c r="K275" s="443" t="s">
        <v>191</v>
      </c>
      <c r="L275" s="551"/>
      <c r="M275" s="451"/>
      <c r="AB275"/>
      <c r="AC275"/>
      <c r="AD275"/>
      <c r="AE275"/>
      <c r="AF275"/>
      <c r="AG275"/>
      <c r="AH275"/>
      <c r="AI275"/>
      <c r="AJ275"/>
      <c r="AK275"/>
      <c r="AL275"/>
      <c r="AM275"/>
      <c r="AN275"/>
      <c r="AO275"/>
      <c r="AP275" s="301"/>
      <c r="AQ275" s="313">
        <f t="shared" si="39"/>
        <v>200</v>
      </c>
      <c r="AR275">
        <f t="shared" si="37"/>
        <v>0</v>
      </c>
      <c r="AS275">
        <f t="shared" si="40"/>
        <v>0</v>
      </c>
      <c r="AT275"/>
      <c r="AU275"/>
      <c r="AV275"/>
      <c r="AW275"/>
      <c r="AX275"/>
      <c r="AY275"/>
      <c r="AZ275"/>
      <c r="BA275"/>
      <c r="BB275"/>
      <c r="BC275"/>
      <c r="BD275"/>
      <c r="BE275"/>
    </row>
    <row r="276" spans="2:57" ht="27" customHeight="1" x14ac:dyDescent="0.25">
      <c r="B276" s="332">
        <f t="shared" si="38"/>
        <v>15</v>
      </c>
      <c r="C276" s="381" t="s">
        <v>43</v>
      </c>
      <c r="D276" s="381" t="s">
        <v>78</v>
      </c>
      <c r="E276" s="374">
        <v>48.2</v>
      </c>
      <c r="F276" s="351">
        <v>0.38500000000000001</v>
      </c>
      <c r="G276" s="286">
        <v>45.8</v>
      </c>
      <c r="H276" s="333">
        <v>8.4000000000000005E-2</v>
      </c>
      <c r="I276" s="725">
        <v>47.02</v>
      </c>
      <c r="J276" s="285">
        <v>0.39700000000000002</v>
      </c>
      <c r="K276" s="443"/>
      <c r="L276" s="551"/>
      <c r="M276" s="451"/>
      <c r="AB276"/>
      <c r="AC276"/>
      <c r="AD276"/>
      <c r="AE276"/>
      <c r="AF276"/>
      <c r="AG276"/>
      <c r="AH276"/>
      <c r="AI276"/>
      <c r="AJ276"/>
      <c r="AK276"/>
      <c r="AL276"/>
      <c r="AM276"/>
      <c r="AN276"/>
      <c r="AO276"/>
      <c r="AP276" s="301"/>
      <c r="AQ276" s="313">
        <f t="shared" si="39"/>
        <v>201</v>
      </c>
      <c r="AR276">
        <f t="shared" si="37"/>
        <v>0</v>
      </c>
      <c r="AS276">
        <f t="shared" si="40"/>
        <v>0</v>
      </c>
      <c r="AT276"/>
      <c r="AU276"/>
      <c r="AV276"/>
      <c r="AW276"/>
      <c r="AX276"/>
      <c r="AY276"/>
      <c r="AZ276"/>
      <c r="BA276"/>
      <c r="BB276"/>
      <c r="BC276"/>
      <c r="BD276"/>
      <c r="BE276"/>
    </row>
    <row r="277" spans="2:57" ht="27" customHeight="1" x14ac:dyDescent="0.2">
      <c r="B277" s="332">
        <f t="shared" si="38"/>
        <v>16</v>
      </c>
      <c r="C277" s="381" t="s">
        <v>81</v>
      </c>
      <c r="D277" s="381" t="s">
        <v>44</v>
      </c>
      <c r="E277" s="374">
        <v>136</v>
      </c>
      <c r="F277" s="351">
        <v>440</v>
      </c>
      <c r="G277" s="286">
        <v>132.91999999999999</v>
      </c>
      <c r="H277" s="286">
        <v>211.166</v>
      </c>
      <c r="I277" s="286">
        <v>132.57</v>
      </c>
      <c r="J277" s="781">
        <v>202.64</v>
      </c>
      <c r="K277" s="421" t="s">
        <v>191</v>
      </c>
      <c r="L277" s="452"/>
      <c r="M277" s="452"/>
      <c r="AB277"/>
      <c r="AC277"/>
      <c r="AD277"/>
      <c r="AE277"/>
      <c r="AF277"/>
      <c r="AG277"/>
      <c r="AH277"/>
      <c r="AI277"/>
      <c r="AJ277"/>
      <c r="AK277"/>
      <c r="AL277"/>
      <c r="AM277"/>
      <c r="AN277"/>
      <c r="AO277"/>
      <c r="AP277" s="301"/>
      <c r="AQ277" s="313">
        <f t="shared" si="39"/>
        <v>202</v>
      </c>
      <c r="AR277">
        <f t="shared" si="37"/>
        <v>0</v>
      </c>
      <c r="AS277">
        <f t="shared" si="40"/>
        <v>0</v>
      </c>
      <c r="AT277"/>
      <c r="AU277"/>
      <c r="AV277"/>
      <c r="AW277"/>
      <c r="AX277"/>
      <c r="AY277"/>
      <c r="AZ277"/>
      <c r="BA277"/>
      <c r="BB277"/>
      <c r="BC277"/>
      <c r="BD277"/>
      <c r="BE277"/>
    </row>
    <row r="278" spans="2:57" ht="27" customHeight="1" x14ac:dyDescent="0.2">
      <c r="B278" s="332">
        <f t="shared" si="38"/>
        <v>17</v>
      </c>
      <c r="C278" s="381" t="s">
        <v>45</v>
      </c>
      <c r="D278" s="381" t="s">
        <v>44</v>
      </c>
      <c r="E278" s="374">
        <v>113.5</v>
      </c>
      <c r="F278" s="351">
        <v>3.7519999999999998</v>
      </c>
      <c r="G278" s="286">
        <v>113</v>
      </c>
      <c r="H278" s="286">
        <v>2.1120000000000001</v>
      </c>
      <c r="I278" s="287">
        <v>112.27</v>
      </c>
      <c r="J278" s="781">
        <v>1.8004</v>
      </c>
      <c r="K278" s="421" t="s">
        <v>191</v>
      </c>
      <c r="L278" s="452"/>
      <c r="M278" s="452"/>
      <c r="AB278"/>
      <c r="AC278"/>
      <c r="AD278"/>
      <c r="AE278"/>
      <c r="AF278"/>
      <c r="AG278"/>
      <c r="AH278"/>
      <c r="AI278"/>
      <c r="AJ278"/>
      <c r="AK278"/>
      <c r="AL278"/>
      <c r="AM278"/>
      <c r="AN278"/>
      <c r="AO278"/>
      <c r="AP278" s="301"/>
      <c r="AQ278" s="313">
        <f t="shared" si="39"/>
        <v>203</v>
      </c>
      <c r="AR278">
        <f t="shared" si="37"/>
        <v>0</v>
      </c>
      <c r="AS278">
        <f t="shared" si="40"/>
        <v>0</v>
      </c>
      <c r="AT278"/>
      <c r="AU278"/>
      <c r="AV278"/>
      <c r="AW278"/>
      <c r="AX278"/>
      <c r="AY278"/>
      <c r="AZ278"/>
      <c r="BA278"/>
      <c r="BB278"/>
      <c r="BC278"/>
      <c r="BD278"/>
      <c r="BE278"/>
    </row>
    <row r="279" spans="2:57" ht="27" customHeight="1" x14ac:dyDescent="0.2">
      <c r="B279" s="332">
        <f t="shared" si="38"/>
        <v>18</v>
      </c>
      <c r="C279" s="381" t="s">
        <v>46</v>
      </c>
      <c r="D279" s="381" t="s">
        <v>44</v>
      </c>
      <c r="E279" s="374">
        <v>225.4</v>
      </c>
      <c r="F279" s="374">
        <v>1.2</v>
      </c>
      <c r="G279" s="286">
        <v>203.5</v>
      </c>
      <c r="H279" s="286">
        <v>0.27300000000000002</v>
      </c>
      <c r="I279" s="286">
        <v>201.8</v>
      </c>
      <c r="J279" s="781">
        <v>0.1249</v>
      </c>
      <c r="K279" s="421" t="s">
        <v>191</v>
      </c>
      <c r="L279" s="452"/>
      <c r="M279" s="452"/>
      <c r="AB279"/>
      <c r="AC279"/>
      <c r="AD279"/>
      <c r="AE279"/>
      <c r="AF279"/>
      <c r="AG279"/>
      <c r="AH279"/>
      <c r="AI279"/>
      <c r="AJ279"/>
      <c r="AK279"/>
      <c r="AL279"/>
      <c r="AM279"/>
      <c r="AN279"/>
      <c r="AO279"/>
      <c r="AP279" s="301"/>
      <c r="AQ279" s="313">
        <f t="shared" si="39"/>
        <v>204</v>
      </c>
      <c r="AR279">
        <f t="shared" si="37"/>
        <v>0</v>
      </c>
      <c r="AS279">
        <f t="shared" si="40"/>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223.53</v>
      </c>
      <c r="H280" s="286">
        <v>0.38400000000000001</v>
      </c>
      <c r="I280" s="287">
        <v>221.27</v>
      </c>
      <c r="J280" s="782">
        <v>0.224</v>
      </c>
      <c r="K280" s="421" t="s">
        <v>191</v>
      </c>
      <c r="L280" s="453"/>
      <c r="M280" s="453"/>
      <c r="AB280"/>
      <c r="AC280"/>
      <c r="AD280"/>
      <c r="AE280"/>
      <c r="AF280"/>
      <c r="AG280"/>
      <c r="AH280"/>
      <c r="AI280"/>
      <c r="AJ280"/>
      <c r="AK280"/>
      <c r="AL280"/>
      <c r="AM280"/>
      <c r="AN280"/>
      <c r="AO280"/>
      <c r="AP280" s="301"/>
      <c r="AQ280" s="313">
        <f t="shared" si="39"/>
        <v>205</v>
      </c>
      <c r="AR280">
        <f t="shared" si="37"/>
        <v>0</v>
      </c>
      <c r="AS280">
        <f t="shared" si="40"/>
        <v>0</v>
      </c>
      <c r="AT280"/>
      <c r="AU280"/>
      <c r="AV280"/>
      <c r="AW280"/>
      <c r="AX280"/>
      <c r="AY280"/>
      <c r="AZ280"/>
      <c r="BA280"/>
      <c r="BB280"/>
      <c r="BC280"/>
      <c r="BD280"/>
      <c r="BE280"/>
    </row>
    <row r="281" spans="2:57" ht="27" customHeight="1" x14ac:dyDescent="0.2">
      <c r="B281" s="332">
        <f t="shared" si="38"/>
        <v>20</v>
      </c>
      <c r="C281" s="381" t="s">
        <v>48</v>
      </c>
      <c r="D281" s="381" t="s">
        <v>44</v>
      </c>
      <c r="E281" s="374">
        <v>196</v>
      </c>
      <c r="F281" s="351">
        <v>1.5820000000000001</v>
      </c>
      <c r="G281" s="286">
        <v>195.5</v>
      </c>
      <c r="H281" s="286">
        <v>0.67500000000000004</v>
      </c>
      <c r="I281" s="287">
        <v>196.02</v>
      </c>
      <c r="J281" s="781">
        <v>0.7752</v>
      </c>
      <c r="K281" s="421" t="s">
        <v>191</v>
      </c>
      <c r="L281" s="452"/>
      <c r="M281" s="452"/>
      <c r="AB281"/>
      <c r="AC281"/>
      <c r="AD281"/>
      <c r="AE281"/>
      <c r="AF281"/>
      <c r="AG281"/>
      <c r="AH281"/>
      <c r="AI281"/>
      <c r="AJ281"/>
      <c r="AK281"/>
      <c r="AL281"/>
      <c r="AM281"/>
      <c r="AN281"/>
      <c r="AO281"/>
      <c r="AP281" s="301"/>
      <c r="AQ281" s="313">
        <f t="shared" si="39"/>
        <v>206</v>
      </c>
      <c r="AR281">
        <f t="shared" si="37"/>
        <v>0</v>
      </c>
      <c r="AS281">
        <f t="shared" si="40"/>
        <v>0</v>
      </c>
      <c r="AT281"/>
      <c r="AU281"/>
      <c r="AV281"/>
      <c r="AW281"/>
      <c r="AX281"/>
      <c r="AY281"/>
      <c r="AZ281"/>
      <c r="BA281"/>
      <c r="BB281"/>
      <c r="BC281"/>
      <c r="BD281"/>
      <c r="BE281"/>
    </row>
    <row r="282" spans="2:57" ht="27" customHeight="1" x14ac:dyDescent="0.2">
      <c r="B282" s="332">
        <f t="shared" si="38"/>
        <v>21</v>
      </c>
      <c r="C282" s="381" t="s">
        <v>49</v>
      </c>
      <c r="D282" s="381" t="s">
        <v>44</v>
      </c>
      <c r="E282" s="374">
        <v>174</v>
      </c>
      <c r="F282" s="351">
        <v>0.47899999999999998</v>
      </c>
      <c r="G282" s="286">
        <v>170.57</v>
      </c>
      <c r="H282" s="286">
        <v>0.16300000000000001</v>
      </c>
      <c r="I282" s="287">
        <v>168.45</v>
      </c>
      <c r="J282" s="781">
        <v>5.7000000000000002E-2</v>
      </c>
      <c r="K282" s="421" t="s">
        <v>191</v>
      </c>
      <c r="L282" s="452"/>
      <c r="M282" s="452"/>
      <c r="AB282"/>
      <c r="AC282"/>
      <c r="AD282"/>
      <c r="AE282"/>
      <c r="AF282"/>
      <c r="AG282"/>
      <c r="AH282"/>
      <c r="AI282"/>
      <c r="AJ282"/>
      <c r="AK282"/>
      <c r="AL282"/>
      <c r="AM282"/>
      <c r="AN282"/>
      <c r="AO282"/>
      <c r="AP282" s="301"/>
      <c r="AQ282" s="313">
        <f t="shared" si="39"/>
        <v>207</v>
      </c>
      <c r="AR282">
        <f t="shared" si="37"/>
        <v>0</v>
      </c>
      <c r="AS282">
        <f t="shared" si="40"/>
        <v>0</v>
      </c>
      <c r="AT282"/>
      <c r="AU282"/>
      <c r="AV282"/>
      <c r="AW282"/>
      <c r="AX282"/>
      <c r="AY282"/>
      <c r="AZ282"/>
      <c r="BA282"/>
      <c r="BB282"/>
      <c r="BC282"/>
      <c r="BD282"/>
      <c r="BE282"/>
    </row>
    <row r="283" spans="2:57" ht="27" customHeight="1" x14ac:dyDescent="0.2">
      <c r="B283" s="330">
        <f t="shared" si="38"/>
        <v>22</v>
      </c>
      <c r="C283" s="331" t="s">
        <v>50</v>
      </c>
      <c r="D283" s="331" t="s">
        <v>44</v>
      </c>
      <c r="E283" s="352">
        <v>229.1</v>
      </c>
      <c r="F283" s="377">
        <v>0.79200000000000004</v>
      </c>
      <c r="G283" s="285">
        <v>226.6</v>
      </c>
      <c r="H283" s="285">
        <v>0.49199999999999999</v>
      </c>
      <c r="I283" s="412">
        <v>225.9</v>
      </c>
      <c r="J283" s="783">
        <v>0.43219999999999997</v>
      </c>
      <c r="K283" s="421" t="s">
        <v>191</v>
      </c>
      <c r="L283" s="453"/>
      <c r="M283" s="453"/>
      <c r="AB283"/>
      <c r="AC283"/>
      <c r="AD283"/>
      <c r="AE283"/>
      <c r="AF283"/>
      <c r="AG283"/>
      <c r="AH283"/>
      <c r="AI283"/>
      <c r="AJ283"/>
      <c r="AK283"/>
      <c r="AL283"/>
      <c r="AM283"/>
      <c r="AN283"/>
      <c r="AO283"/>
      <c r="AP283" s="301"/>
      <c r="AQ283" s="313">
        <f t="shared" si="39"/>
        <v>208</v>
      </c>
      <c r="AR283">
        <f t="shared" si="37"/>
        <v>0</v>
      </c>
      <c r="AS283">
        <f t="shared" si="40"/>
        <v>0</v>
      </c>
      <c r="AT283"/>
      <c r="AU283"/>
      <c r="AV283"/>
      <c r="AW283"/>
      <c r="AX283"/>
      <c r="AY283"/>
      <c r="AZ283"/>
      <c r="BA283"/>
      <c r="BB283"/>
      <c r="BC283"/>
      <c r="BD283"/>
      <c r="BE283"/>
    </row>
    <row r="284" spans="2:57" ht="27" customHeight="1" x14ac:dyDescent="0.2">
      <c r="B284" s="332">
        <f t="shared" si="38"/>
        <v>23</v>
      </c>
      <c r="C284" s="381" t="s">
        <v>51</v>
      </c>
      <c r="D284" s="381" t="s">
        <v>44</v>
      </c>
      <c r="E284" s="374">
        <v>249</v>
      </c>
      <c r="F284" s="351">
        <v>2.1240000000000001</v>
      </c>
      <c r="G284" s="286">
        <v>248.7</v>
      </c>
      <c r="H284" s="286">
        <v>1.708</v>
      </c>
      <c r="I284" s="287">
        <v>247.44</v>
      </c>
      <c r="J284" s="782">
        <v>1.3615999999999999</v>
      </c>
      <c r="K284" s="421" t="s">
        <v>191</v>
      </c>
      <c r="L284" s="453"/>
      <c r="M284" s="453"/>
      <c r="V284" s="185" t="s">
        <v>211</v>
      </c>
      <c r="AB284"/>
      <c r="AC284"/>
      <c r="AD284"/>
      <c r="AE284"/>
      <c r="AF284"/>
      <c r="AG284"/>
      <c r="AH284"/>
      <c r="AI284"/>
      <c r="AJ284"/>
      <c r="AK284"/>
      <c r="AL284"/>
      <c r="AM284"/>
      <c r="AN284"/>
      <c r="AO284"/>
      <c r="AP284" s="301"/>
      <c r="AQ284" s="313">
        <f t="shared" si="39"/>
        <v>209</v>
      </c>
      <c r="AR284">
        <f t="shared" si="37"/>
        <v>0</v>
      </c>
      <c r="AS284">
        <f t="shared" si="40"/>
        <v>0</v>
      </c>
      <c r="AT284"/>
      <c r="AU284"/>
      <c r="AV284"/>
      <c r="AW284"/>
      <c r="AX284"/>
      <c r="AY284"/>
      <c r="AZ284"/>
      <c r="BA284"/>
      <c r="BB284"/>
      <c r="BC284"/>
      <c r="BD284"/>
      <c r="BE284"/>
    </row>
    <row r="285" spans="2:57" ht="27" customHeight="1" x14ac:dyDescent="0.2">
      <c r="B285" s="332">
        <f t="shared" si="38"/>
        <v>24</v>
      </c>
      <c r="C285" s="381" t="s">
        <v>52</v>
      </c>
      <c r="D285" s="381" t="s">
        <v>82</v>
      </c>
      <c r="E285" s="374">
        <v>164.75</v>
      </c>
      <c r="F285" s="374">
        <v>5</v>
      </c>
      <c r="G285" s="286">
        <v>140</v>
      </c>
      <c r="H285" s="286">
        <v>0</v>
      </c>
      <c r="I285" s="286">
        <v>140</v>
      </c>
      <c r="J285" s="782">
        <v>0</v>
      </c>
      <c r="K285" s="421" t="s">
        <v>191</v>
      </c>
      <c r="L285" s="453"/>
      <c r="M285" s="453"/>
      <c r="AB285"/>
      <c r="AC285"/>
      <c r="AD285"/>
      <c r="AE285"/>
      <c r="AF285"/>
      <c r="AG285"/>
      <c r="AH285"/>
      <c r="AI285"/>
      <c r="AJ285"/>
      <c r="AK285"/>
      <c r="AL285"/>
      <c r="AM285"/>
      <c r="AN285"/>
      <c r="AO285"/>
      <c r="AP285" s="301"/>
      <c r="AQ285" s="313">
        <f t="shared" si="39"/>
        <v>210</v>
      </c>
      <c r="AR285">
        <f t="shared" si="37"/>
        <v>0</v>
      </c>
      <c r="AS285">
        <f t="shared" si="40"/>
        <v>0</v>
      </c>
      <c r="AT285"/>
      <c r="AU285"/>
      <c r="AV285"/>
      <c r="AW285"/>
      <c r="AX285"/>
      <c r="AY285"/>
      <c r="AZ285"/>
      <c r="BA285"/>
      <c r="BB285"/>
      <c r="BC285"/>
      <c r="BD285"/>
      <c r="BE285"/>
    </row>
    <row r="286" spans="2:57" ht="27" customHeight="1" x14ac:dyDescent="0.2">
      <c r="B286" s="332">
        <f t="shared" si="38"/>
        <v>25</v>
      </c>
      <c r="C286" s="381" t="s">
        <v>53</v>
      </c>
      <c r="D286" s="381" t="s">
        <v>82</v>
      </c>
      <c r="E286" s="374">
        <v>179.1</v>
      </c>
      <c r="F286" s="351">
        <v>4.2</v>
      </c>
      <c r="G286" s="287">
        <v>204.56</v>
      </c>
      <c r="H286" s="287">
        <v>3.052</v>
      </c>
      <c r="I286" s="286">
        <v>204.46</v>
      </c>
      <c r="J286" s="781">
        <v>2.9916999999999998</v>
      </c>
      <c r="K286" s="421" t="s">
        <v>191</v>
      </c>
      <c r="L286" s="452"/>
      <c r="M286" s="452"/>
      <c r="AB286"/>
      <c r="AC286"/>
      <c r="AD286"/>
      <c r="AE286"/>
      <c r="AF286"/>
      <c r="AG286"/>
      <c r="AH286"/>
      <c r="AI286"/>
      <c r="AJ286"/>
      <c r="AK286"/>
      <c r="AL286"/>
      <c r="AM286"/>
      <c r="AN286"/>
      <c r="AO286"/>
      <c r="AP286" s="301"/>
      <c r="AQ286" s="313">
        <f t="shared" si="39"/>
        <v>211</v>
      </c>
      <c r="AR286">
        <f t="shared" si="37"/>
        <v>0</v>
      </c>
      <c r="AS286">
        <f t="shared" si="40"/>
        <v>0</v>
      </c>
      <c r="AT286"/>
      <c r="AU286"/>
      <c r="AV286"/>
      <c r="AW286"/>
      <c r="AX286"/>
      <c r="AY286"/>
      <c r="AZ286"/>
      <c r="BA286"/>
      <c r="BB286"/>
      <c r="BC286"/>
      <c r="BD286"/>
      <c r="BE286"/>
    </row>
    <row r="287" spans="2:57" ht="27" customHeight="1" x14ac:dyDescent="0.2">
      <c r="B287" s="332">
        <f t="shared" si="38"/>
        <v>26</v>
      </c>
      <c r="C287" s="381" t="s">
        <v>54</v>
      </c>
      <c r="D287" s="381" t="s">
        <v>83</v>
      </c>
      <c r="E287" s="374">
        <v>325.56</v>
      </c>
      <c r="F287" s="351">
        <v>0.70099999999999996</v>
      </c>
      <c r="G287" s="287">
        <v>325.5</v>
      </c>
      <c r="H287" s="287">
        <v>0.69599999999999995</v>
      </c>
      <c r="I287" s="287">
        <v>325.19</v>
      </c>
      <c r="J287" s="782">
        <v>0.66710000000000003</v>
      </c>
      <c r="K287" s="421" t="s">
        <v>191</v>
      </c>
      <c r="L287" s="453"/>
      <c r="M287" s="453"/>
      <c r="AB287"/>
      <c r="AC287"/>
      <c r="AD287"/>
      <c r="AE287"/>
      <c r="AF287"/>
      <c r="AG287"/>
      <c r="AH287"/>
      <c r="AI287"/>
      <c r="AJ287"/>
      <c r="AK287"/>
      <c r="AL287"/>
      <c r="AM287"/>
      <c r="AN287"/>
      <c r="AO287"/>
      <c r="AP287" s="301"/>
      <c r="AQ287" s="313">
        <f t="shared" si="39"/>
        <v>212</v>
      </c>
      <c r="AR287">
        <f t="shared" si="37"/>
        <v>0</v>
      </c>
      <c r="AS287">
        <f t="shared" si="40"/>
        <v>0</v>
      </c>
      <c r="AT287"/>
      <c r="AU287"/>
      <c r="AV287"/>
      <c r="AW287"/>
      <c r="AX287"/>
      <c r="AY287"/>
      <c r="AZ287"/>
      <c r="BA287"/>
      <c r="BB287"/>
      <c r="BC287"/>
      <c r="BD287"/>
      <c r="BE287"/>
    </row>
    <row r="288" spans="2:57" ht="27" customHeight="1" x14ac:dyDescent="0.2">
      <c r="B288" s="332">
        <f t="shared" si="38"/>
        <v>27</v>
      </c>
      <c r="C288" s="381" t="s">
        <v>55</v>
      </c>
      <c r="D288" s="381" t="s">
        <v>83</v>
      </c>
      <c r="E288" s="374">
        <v>129.19999999999999</v>
      </c>
      <c r="F288" s="351">
        <v>0.5</v>
      </c>
      <c r="G288" s="286">
        <v>129.19999999999999</v>
      </c>
      <c r="H288" s="286">
        <v>0.71</v>
      </c>
      <c r="I288" s="287">
        <v>128.81</v>
      </c>
      <c r="J288" s="781">
        <v>0.65710000000000002</v>
      </c>
      <c r="K288" s="421" t="s">
        <v>191</v>
      </c>
      <c r="L288" s="452"/>
      <c r="M288" s="452"/>
      <c r="AB288"/>
      <c r="AC288"/>
      <c r="AD288"/>
      <c r="AE288"/>
      <c r="AF288"/>
      <c r="AG288"/>
      <c r="AH288"/>
      <c r="AI288"/>
      <c r="AJ288"/>
      <c r="AK288"/>
      <c r="AL288"/>
      <c r="AM288"/>
      <c r="AN288"/>
      <c r="AO288"/>
      <c r="AP288" s="301"/>
      <c r="AQ288" s="313">
        <f t="shared" si="39"/>
        <v>213</v>
      </c>
      <c r="AR288">
        <f t="shared" si="37"/>
        <v>0</v>
      </c>
      <c r="AS288">
        <f t="shared" si="40"/>
        <v>0</v>
      </c>
      <c r="AT288"/>
      <c r="AU288"/>
      <c r="AV288"/>
      <c r="AW288"/>
      <c r="AX288"/>
      <c r="AY288"/>
      <c r="AZ288"/>
      <c r="BA288"/>
      <c r="BB288"/>
      <c r="BC288"/>
      <c r="BD288"/>
      <c r="BE288"/>
    </row>
    <row r="289" spans="2:57" ht="27" customHeight="1" x14ac:dyDescent="0.2">
      <c r="B289" s="332">
        <f t="shared" si="38"/>
        <v>28</v>
      </c>
      <c r="C289" s="381" t="s">
        <v>56</v>
      </c>
      <c r="D289" s="381" t="s">
        <v>83</v>
      </c>
      <c r="E289" s="374">
        <v>282.77999999999997</v>
      </c>
      <c r="F289" s="351">
        <v>0.51300000000000001</v>
      </c>
      <c r="G289" s="286">
        <v>282.95999999999998</v>
      </c>
      <c r="H289" s="286">
        <v>0.48</v>
      </c>
      <c r="I289" s="286">
        <v>282.95999999999998</v>
      </c>
      <c r="J289" s="781">
        <v>0.48</v>
      </c>
      <c r="K289" s="421" t="s">
        <v>191</v>
      </c>
      <c r="L289" s="452"/>
      <c r="M289" s="452"/>
      <c r="AB289"/>
      <c r="AC289"/>
      <c r="AD289"/>
      <c r="AE289"/>
      <c r="AF289"/>
      <c r="AG289"/>
      <c r="AH289"/>
      <c r="AI289"/>
      <c r="AJ289"/>
      <c r="AK289"/>
      <c r="AL289"/>
      <c r="AM289"/>
      <c r="AN289"/>
      <c r="AO289"/>
      <c r="AP289" s="301"/>
      <c r="AQ289" s="313">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332">
        <f t="shared" si="38"/>
        <v>29</v>
      </c>
      <c r="C290" s="381" t="s">
        <v>57</v>
      </c>
      <c r="D290" s="381" t="s">
        <v>83</v>
      </c>
      <c r="E290" s="374">
        <v>99</v>
      </c>
      <c r="F290" s="351">
        <v>2.6110000000000002</v>
      </c>
      <c r="G290" s="286">
        <v>98.85</v>
      </c>
      <c r="H290" s="286">
        <v>2.7770000000000001</v>
      </c>
      <c r="I290" s="287">
        <v>98.97</v>
      </c>
      <c r="J290" s="782">
        <v>2.8635999999999999</v>
      </c>
      <c r="K290" s="421" t="s">
        <v>191</v>
      </c>
      <c r="L290" s="453"/>
      <c r="M290" s="453"/>
      <c r="AB290"/>
      <c r="AC290"/>
      <c r="AD290"/>
      <c r="AE290"/>
      <c r="AF290"/>
      <c r="AG290"/>
      <c r="AH290"/>
      <c r="AI290"/>
      <c r="AJ290"/>
      <c r="AK290"/>
      <c r="AL290"/>
      <c r="AM290"/>
      <c r="AN290"/>
      <c r="AO290"/>
      <c r="AP290" s="301"/>
      <c r="AQ290" s="313">
        <f t="shared" si="39"/>
        <v>215</v>
      </c>
      <c r="AR290">
        <f t="shared" si="41"/>
        <v>0</v>
      </c>
      <c r="AS290">
        <f t="shared" si="40"/>
        <v>0</v>
      </c>
      <c r="AT290"/>
      <c r="AU290"/>
      <c r="AV290"/>
      <c r="AW290"/>
      <c r="AX290"/>
      <c r="AY290"/>
      <c r="AZ290"/>
      <c r="BA290"/>
      <c r="BB290"/>
      <c r="BC290"/>
      <c r="BD290"/>
      <c r="BE290"/>
    </row>
    <row r="291" spans="2:57" ht="27" customHeight="1" x14ac:dyDescent="0.2">
      <c r="B291" s="332">
        <f t="shared" si="38"/>
        <v>30</v>
      </c>
      <c r="C291" s="381" t="s">
        <v>58</v>
      </c>
      <c r="D291" s="381" t="s">
        <v>83</v>
      </c>
      <c r="E291" s="374">
        <v>189.7</v>
      </c>
      <c r="F291" s="374">
        <v>7.9000000000000001E-2</v>
      </c>
      <c r="G291" s="286">
        <v>189.7</v>
      </c>
      <c r="H291" s="286">
        <v>0.08</v>
      </c>
      <c r="I291" s="287">
        <v>189.4</v>
      </c>
      <c r="J291" s="782">
        <v>7.3400000000000007E-2</v>
      </c>
      <c r="K291" s="421" t="s">
        <v>191</v>
      </c>
      <c r="L291" s="453"/>
      <c r="M291" s="453"/>
      <c r="AB291"/>
      <c r="AC291"/>
      <c r="AD291"/>
      <c r="AE291"/>
      <c r="AF291"/>
      <c r="AG291"/>
      <c r="AH291"/>
      <c r="AI291"/>
      <c r="AJ291"/>
      <c r="AK291"/>
      <c r="AL291"/>
      <c r="AM291"/>
      <c r="AN291"/>
      <c r="AO291"/>
      <c r="AP291" s="301"/>
      <c r="AQ291" s="313">
        <f t="shared" si="39"/>
        <v>216</v>
      </c>
      <c r="AR291">
        <f t="shared" si="41"/>
        <v>0</v>
      </c>
      <c r="AS291">
        <f t="shared" si="40"/>
        <v>0</v>
      </c>
      <c r="AT291"/>
      <c r="AU291"/>
      <c r="AV291"/>
      <c r="AW291"/>
      <c r="AX291"/>
      <c r="AY291"/>
      <c r="AZ291"/>
      <c r="BA291"/>
      <c r="BB291"/>
      <c r="BC291"/>
      <c r="BD291"/>
      <c r="BE291"/>
    </row>
    <row r="292" spans="2:57" ht="27" customHeight="1" x14ac:dyDescent="0.2">
      <c r="B292" s="332">
        <f t="shared" si="38"/>
        <v>31</v>
      </c>
      <c r="C292" s="381" t="s">
        <v>59</v>
      </c>
      <c r="D292" s="381" t="s">
        <v>83</v>
      </c>
      <c r="E292" s="374">
        <v>171.19</v>
      </c>
      <c r="F292" s="351">
        <v>9.6879999999999994E-2</v>
      </c>
      <c r="G292" s="286">
        <v>171.2</v>
      </c>
      <c r="H292" s="333">
        <v>9.7000000000000003E-2</v>
      </c>
      <c r="I292" s="287">
        <v>171.27</v>
      </c>
      <c r="J292" s="782">
        <v>9.8799999999999999E-2</v>
      </c>
      <c r="K292" s="421" t="s">
        <v>191</v>
      </c>
      <c r="L292" s="453"/>
      <c r="M292" s="453"/>
      <c r="AB292"/>
      <c r="AC292"/>
      <c r="AD292"/>
      <c r="AE292"/>
      <c r="AF292"/>
      <c r="AG292"/>
      <c r="AH292"/>
      <c r="AI292"/>
      <c r="AJ292"/>
      <c r="AK292"/>
      <c r="AL292"/>
      <c r="AM292"/>
      <c r="AN292"/>
      <c r="AO292"/>
      <c r="AP292" s="301"/>
      <c r="AQ292" s="313">
        <f t="shared" si="39"/>
        <v>217</v>
      </c>
      <c r="AR292">
        <f t="shared" si="41"/>
        <v>0</v>
      </c>
      <c r="AS292">
        <f t="shared" si="40"/>
        <v>0</v>
      </c>
      <c r="AT292"/>
      <c r="AU292"/>
      <c r="AV292"/>
      <c r="AW292"/>
      <c r="AX292"/>
      <c r="AY292"/>
      <c r="AZ292"/>
      <c r="BA292"/>
      <c r="BB292"/>
      <c r="BC292"/>
      <c r="BD292"/>
      <c r="BE292"/>
    </row>
    <row r="293" spans="2:57" ht="27" customHeight="1" x14ac:dyDescent="0.2">
      <c r="B293" s="332">
        <f t="shared" si="38"/>
        <v>32</v>
      </c>
      <c r="C293" s="381" t="s">
        <v>60</v>
      </c>
      <c r="D293" s="381" t="s">
        <v>84</v>
      </c>
      <c r="E293" s="374">
        <v>142.6</v>
      </c>
      <c r="F293" s="351">
        <v>9.157</v>
      </c>
      <c r="G293" s="286">
        <v>140.30000000000001</v>
      </c>
      <c r="H293" s="286">
        <v>9.1560000000000006</v>
      </c>
      <c r="I293" s="286">
        <v>139.44999999999999</v>
      </c>
      <c r="J293" s="784">
        <v>6.782</v>
      </c>
      <c r="K293" s="421" t="s">
        <v>191</v>
      </c>
      <c r="L293" s="454"/>
      <c r="M293" s="454"/>
      <c r="AB293"/>
      <c r="AC293"/>
      <c r="AD293"/>
      <c r="AE293"/>
      <c r="AF293"/>
      <c r="AG293"/>
      <c r="AH293"/>
      <c r="AI293"/>
      <c r="AJ293"/>
      <c r="AK293"/>
      <c r="AL293"/>
      <c r="AM293"/>
      <c r="AN293"/>
      <c r="AO293"/>
      <c r="AP293" s="301"/>
      <c r="AQ293" s="313">
        <f t="shared" si="39"/>
        <v>218</v>
      </c>
      <c r="AR293">
        <f t="shared" si="41"/>
        <v>0</v>
      </c>
      <c r="AS293">
        <f t="shared" si="40"/>
        <v>0</v>
      </c>
      <c r="AT293"/>
      <c r="AU293"/>
      <c r="AV293"/>
      <c r="AW293"/>
      <c r="AX293"/>
      <c r="AY293"/>
      <c r="AZ293"/>
      <c r="BA293"/>
      <c r="BB293"/>
      <c r="BC293"/>
      <c r="BD293"/>
      <c r="BE293"/>
    </row>
    <row r="294" spans="2:57" ht="27" customHeight="1" x14ac:dyDescent="0.2">
      <c r="B294" s="332">
        <f t="shared" si="38"/>
        <v>33</v>
      </c>
      <c r="C294" s="381" t="s">
        <v>61</v>
      </c>
      <c r="D294" s="381" t="s">
        <v>84</v>
      </c>
      <c r="E294" s="374">
        <v>239.5</v>
      </c>
      <c r="F294" s="351">
        <v>2.6720000000000002</v>
      </c>
      <c r="G294" s="286">
        <v>239.7</v>
      </c>
      <c r="H294" s="333">
        <v>2.8559999999999999</v>
      </c>
      <c r="I294" s="717">
        <v>239.05</v>
      </c>
      <c r="J294" s="785">
        <v>2.4340000000000002</v>
      </c>
      <c r="K294" s="421" t="s">
        <v>191</v>
      </c>
      <c r="L294" s="454"/>
      <c r="M294" s="454"/>
      <c r="AB294"/>
      <c r="AC294"/>
      <c r="AD294"/>
      <c r="AE294"/>
      <c r="AF294"/>
      <c r="AG294"/>
      <c r="AH294"/>
      <c r="AI294"/>
      <c r="AJ294"/>
      <c r="AK294"/>
      <c r="AL294"/>
      <c r="AM294"/>
      <c r="AN294"/>
      <c r="AO294"/>
      <c r="AP294" s="301"/>
      <c r="AQ294" s="313">
        <f t="shared" si="39"/>
        <v>219</v>
      </c>
      <c r="AR294">
        <f t="shared" si="41"/>
        <v>0</v>
      </c>
      <c r="AS294">
        <f t="shared" si="40"/>
        <v>0</v>
      </c>
      <c r="AT294"/>
      <c r="AU294"/>
      <c r="AV294"/>
      <c r="AW294"/>
      <c r="AX294"/>
      <c r="AY294"/>
      <c r="AZ294"/>
      <c r="BA294"/>
      <c r="BB294"/>
      <c r="BC294"/>
      <c r="BD294"/>
      <c r="BE294"/>
    </row>
    <row r="295" spans="2:57" ht="27" customHeight="1" x14ac:dyDescent="0.2">
      <c r="B295" s="332">
        <f t="shared" si="38"/>
        <v>34</v>
      </c>
      <c r="C295" s="381" t="s">
        <v>62</v>
      </c>
      <c r="D295" s="381" t="s">
        <v>85</v>
      </c>
      <c r="E295" s="374">
        <v>120.5</v>
      </c>
      <c r="F295" s="351">
        <v>3.677</v>
      </c>
      <c r="G295" s="286">
        <v>120.75</v>
      </c>
      <c r="H295" s="286">
        <v>4.1539999999999999</v>
      </c>
      <c r="I295" s="286">
        <v>120.6</v>
      </c>
      <c r="J295" s="781">
        <v>3.8681000000000001</v>
      </c>
      <c r="K295" s="421" t="s">
        <v>191</v>
      </c>
      <c r="L295" s="452"/>
      <c r="M295" s="452"/>
      <c r="AB295"/>
      <c r="AC295"/>
      <c r="AD295"/>
      <c r="AE295"/>
      <c r="AF295"/>
      <c r="AG295"/>
      <c r="AH295"/>
      <c r="AI295"/>
      <c r="AJ295"/>
      <c r="AK295"/>
      <c r="AL295"/>
      <c r="AM295"/>
      <c r="AN295"/>
      <c r="AO295"/>
      <c r="AP295" s="301"/>
      <c r="AQ295" s="313">
        <f t="shared" si="39"/>
        <v>220</v>
      </c>
      <c r="AR295">
        <f t="shared" si="41"/>
        <v>0</v>
      </c>
      <c r="AS295">
        <f t="shared" si="40"/>
        <v>0</v>
      </c>
      <c r="AT295"/>
      <c r="AU295"/>
      <c r="AV295"/>
      <c r="AW295"/>
      <c r="AX295"/>
      <c r="AY295"/>
      <c r="AZ295"/>
      <c r="BA295"/>
      <c r="BB295"/>
      <c r="BC295"/>
      <c r="BD295"/>
      <c r="BE295"/>
    </row>
    <row r="296" spans="2:57" ht="27" customHeight="1" x14ac:dyDescent="0.2">
      <c r="B296" s="332">
        <f t="shared" si="38"/>
        <v>35</v>
      </c>
      <c r="C296" s="381" t="s">
        <v>63</v>
      </c>
      <c r="D296" s="381" t="s">
        <v>86</v>
      </c>
      <c r="E296" s="374">
        <v>110.56</v>
      </c>
      <c r="F296" s="351">
        <v>2.75</v>
      </c>
      <c r="G296" s="286">
        <v>110.36</v>
      </c>
      <c r="H296" s="286">
        <v>2.371</v>
      </c>
      <c r="I296" s="286">
        <v>110.55</v>
      </c>
      <c r="J296" s="781">
        <v>2.7309999999999999</v>
      </c>
      <c r="K296" s="421" t="s">
        <v>191</v>
      </c>
      <c r="L296" s="452"/>
      <c r="M296" s="452"/>
      <c r="AB296"/>
      <c r="AC296"/>
      <c r="AD296"/>
      <c r="AE296"/>
      <c r="AF296"/>
      <c r="AG296"/>
      <c r="AH296"/>
      <c r="AI296"/>
      <c r="AJ296"/>
      <c r="AK296"/>
      <c r="AL296"/>
      <c r="AM296"/>
      <c r="AN296"/>
      <c r="AO296"/>
      <c r="AP296" s="301"/>
      <c r="AQ296" s="313">
        <f t="shared" si="39"/>
        <v>221</v>
      </c>
      <c r="AR296">
        <f t="shared" si="41"/>
        <v>0</v>
      </c>
      <c r="AS296">
        <f t="shared" si="40"/>
        <v>0</v>
      </c>
      <c r="AT296"/>
      <c r="AU296"/>
      <c r="AV296"/>
      <c r="AW296"/>
      <c r="AX296"/>
      <c r="AY296"/>
      <c r="AZ296"/>
      <c r="BA296"/>
      <c r="BB296"/>
      <c r="BC296"/>
      <c r="BD296"/>
      <c r="BE296"/>
    </row>
    <row r="297" spans="2:57" ht="27" customHeight="1" x14ac:dyDescent="0.2">
      <c r="B297" s="332">
        <f t="shared" si="38"/>
        <v>36</v>
      </c>
      <c r="C297" s="381" t="s">
        <v>64</v>
      </c>
      <c r="D297" s="381" t="s">
        <v>87</v>
      </c>
      <c r="E297" s="374">
        <v>72</v>
      </c>
      <c r="F297" s="351">
        <v>38.036000000000001</v>
      </c>
      <c r="G297" s="286">
        <v>66.75</v>
      </c>
      <c r="H297" s="333">
        <v>24.373999999999999</v>
      </c>
      <c r="I297" s="286">
        <v>65.63</v>
      </c>
      <c r="J297" s="784">
        <v>22.280999999999999</v>
      </c>
      <c r="K297" s="421"/>
      <c r="L297" s="454"/>
      <c r="M297" s="445"/>
      <c r="AB297"/>
      <c r="AC297"/>
      <c r="AD297"/>
      <c r="AE297"/>
      <c r="AF297"/>
      <c r="AG297"/>
      <c r="AH297"/>
      <c r="AI297"/>
      <c r="AJ297"/>
      <c r="AK297"/>
      <c r="AL297"/>
      <c r="AM297"/>
      <c r="AN297"/>
      <c r="AO297"/>
      <c r="AP297" s="301"/>
      <c r="AQ297" s="313">
        <f t="shared" si="39"/>
        <v>222</v>
      </c>
      <c r="AR297">
        <f t="shared" si="41"/>
        <v>0</v>
      </c>
      <c r="AS297">
        <f t="shared" si="40"/>
        <v>0</v>
      </c>
      <c r="AT297"/>
      <c r="AU297"/>
      <c r="AV297"/>
      <c r="AW297"/>
      <c r="AX297"/>
      <c r="AY297"/>
      <c r="AZ297"/>
      <c r="BA297"/>
      <c r="BB297"/>
      <c r="BC297"/>
      <c r="BD297"/>
      <c r="BE297"/>
    </row>
    <row r="298" spans="2:57" ht="27" customHeight="1" x14ac:dyDescent="0.2">
      <c r="B298" s="332">
        <f t="shared" si="38"/>
        <v>37</v>
      </c>
      <c r="C298" s="381" t="s">
        <v>65</v>
      </c>
      <c r="D298" s="381" t="s">
        <v>87</v>
      </c>
      <c r="E298" s="374">
        <v>185</v>
      </c>
      <c r="F298" s="351">
        <v>388.72199999999998</v>
      </c>
      <c r="G298" s="286">
        <v>170.3</v>
      </c>
      <c r="H298" s="333">
        <v>246.3</v>
      </c>
      <c r="I298" s="286">
        <v>174.88</v>
      </c>
      <c r="J298" s="777">
        <v>288.93599999999998</v>
      </c>
      <c r="K298" s="421" t="s">
        <v>191</v>
      </c>
      <c r="L298" s="454"/>
      <c r="M298" s="445"/>
      <c r="AB298"/>
      <c r="AC298"/>
      <c r="AD298"/>
      <c r="AE298"/>
      <c r="AF298"/>
      <c r="AG298"/>
      <c r="AH298"/>
      <c r="AI298"/>
      <c r="AJ298"/>
      <c r="AK298"/>
      <c r="AL298"/>
      <c r="AM298"/>
      <c r="AN298"/>
      <c r="AO298"/>
      <c r="AP298" s="301"/>
      <c r="AQ298" s="313">
        <f t="shared" si="39"/>
        <v>223</v>
      </c>
      <c r="AR298">
        <f t="shared" si="41"/>
        <v>0</v>
      </c>
      <c r="AS298">
        <f t="shared" si="40"/>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v>
      </c>
      <c r="H299" s="333">
        <v>5.181</v>
      </c>
      <c r="I299" s="286">
        <v>229.93</v>
      </c>
      <c r="J299" s="784">
        <v>10.037000000000001</v>
      </c>
      <c r="K299" s="421" t="s">
        <v>191</v>
      </c>
      <c r="L299" s="454"/>
      <c r="M299" s="445"/>
      <c r="AB299"/>
      <c r="AC299"/>
      <c r="AD299"/>
      <c r="AE299"/>
      <c r="AF299"/>
      <c r="AG299"/>
      <c r="AH299"/>
      <c r="AI299"/>
      <c r="AJ299"/>
      <c r="AK299"/>
      <c r="AL299"/>
      <c r="AM299"/>
      <c r="AN299"/>
      <c r="AO299"/>
      <c r="AP299" s="301"/>
      <c r="AQ299" s="313">
        <f t="shared" si="39"/>
        <v>224</v>
      </c>
      <c r="AR299">
        <f t="shared" si="41"/>
        <v>0</v>
      </c>
      <c r="AS299">
        <f t="shared" si="40"/>
        <v>0</v>
      </c>
      <c r="AT299"/>
      <c r="AU299"/>
      <c r="AV299"/>
      <c r="AW299"/>
      <c r="AX299"/>
      <c r="AY299"/>
      <c r="AZ299"/>
      <c r="BA299"/>
      <c r="BB299"/>
      <c r="BC299"/>
      <c r="BD299"/>
      <c r="BE299"/>
    </row>
    <row r="300" spans="2:57" ht="27" customHeight="1" x14ac:dyDescent="0.2">
      <c r="B300" s="330">
        <v>39</v>
      </c>
      <c r="C300" s="331" t="s">
        <v>212</v>
      </c>
      <c r="D300" s="331" t="s">
        <v>76</v>
      </c>
      <c r="E300" s="352">
        <v>149.30000000000001</v>
      </c>
      <c r="F300" s="377">
        <v>17.670000000000002</v>
      </c>
      <c r="G300" s="352">
        <v>146.06</v>
      </c>
      <c r="H300" s="377">
        <v>8.5</v>
      </c>
      <c r="I300" s="352">
        <v>149.54</v>
      </c>
      <c r="J300" s="779">
        <v>11.17</v>
      </c>
      <c r="K300" s="440"/>
      <c r="L300" s="455"/>
      <c r="M300" s="455"/>
      <c r="AB300"/>
      <c r="AC300"/>
      <c r="AD300"/>
      <c r="AE300"/>
      <c r="AF300"/>
      <c r="AG300"/>
      <c r="AH300"/>
      <c r="AI300"/>
      <c r="AJ300"/>
      <c r="AK300"/>
      <c r="AL300"/>
      <c r="AM300"/>
      <c r="AN300"/>
      <c r="AO300"/>
      <c r="AP300" s="301"/>
      <c r="AQ300" s="313">
        <f t="shared" si="39"/>
        <v>225</v>
      </c>
      <c r="AR300">
        <f t="shared" si="41"/>
        <v>0</v>
      </c>
      <c r="AS300">
        <f t="shared" si="40"/>
        <v>0</v>
      </c>
      <c r="AT300"/>
      <c r="AU300"/>
      <c r="AV300"/>
      <c r="AW300"/>
      <c r="AX300"/>
      <c r="AY300"/>
      <c r="AZ300"/>
      <c r="BA300"/>
      <c r="BB300"/>
      <c r="BC300"/>
      <c r="BD300"/>
      <c r="BE300"/>
    </row>
    <row r="301" spans="2:57" ht="27" customHeight="1" x14ac:dyDescent="0.25">
      <c r="B301" s="332">
        <f>+B300+1</f>
        <v>40</v>
      </c>
      <c r="C301" s="381" t="s">
        <v>213</v>
      </c>
      <c r="D301" s="381" t="s">
        <v>80</v>
      </c>
      <c r="E301" s="374">
        <v>39</v>
      </c>
      <c r="F301" s="351">
        <v>0.47399999999999998</v>
      </c>
      <c r="G301" s="374"/>
      <c r="H301" s="351"/>
      <c r="I301" s="730">
        <v>38.75</v>
      </c>
      <c r="J301" s="781">
        <v>0.44400000000000001</v>
      </c>
      <c r="K301" s="440"/>
      <c r="L301" s="521"/>
      <c r="M301" s="455"/>
      <c r="AB301"/>
      <c r="AC301"/>
      <c r="AD301"/>
      <c r="AE301"/>
      <c r="AF301"/>
      <c r="AG301"/>
      <c r="AH301"/>
      <c r="AI301"/>
      <c r="AJ301"/>
      <c r="AK301"/>
      <c r="AL301"/>
      <c r="AM301"/>
      <c r="AN301"/>
      <c r="AO301"/>
      <c r="AP301" s="301"/>
      <c r="AQ301" s="313">
        <f t="shared" si="39"/>
        <v>226</v>
      </c>
      <c r="AR301">
        <f t="shared" si="41"/>
        <v>0</v>
      </c>
      <c r="AS301">
        <f t="shared" si="40"/>
        <v>0</v>
      </c>
      <c r="AT301"/>
      <c r="AU301"/>
      <c r="AV301"/>
      <c r="AW301"/>
      <c r="AX301"/>
      <c r="AY301"/>
      <c r="AZ301"/>
      <c r="BA301"/>
      <c r="BB301"/>
      <c r="BC301"/>
      <c r="BD301"/>
      <c r="BE301"/>
    </row>
    <row r="302" spans="2:57" ht="27" customHeight="1" thickBot="1" x14ac:dyDescent="0.3">
      <c r="B302" s="334">
        <v>41</v>
      </c>
      <c r="C302" s="335" t="s">
        <v>214</v>
      </c>
      <c r="D302" s="335" t="s">
        <v>80</v>
      </c>
      <c r="E302" s="382">
        <v>70</v>
      </c>
      <c r="F302" s="353">
        <v>0.81699999999999995</v>
      </c>
      <c r="G302" s="382"/>
      <c r="H302" s="353"/>
      <c r="I302" s="725">
        <v>70</v>
      </c>
      <c r="J302" s="781">
        <v>0.747</v>
      </c>
      <c r="K302" s="441"/>
      <c r="L302" s="521"/>
      <c r="M302" s="455"/>
      <c r="AB302"/>
      <c r="AC302"/>
      <c r="AD302"/>
      <c r="AE302"/>
      <c r="AF302"/>
      <c r="AG302"/>
      <c r="AH302"/>
      <c r="AI302"/>
      <c r="AJ302"/>
      <c r="AK302"/>
      <c r="AL302"/>
      <c r="AM302"/>
      <c r="AN302"/>
      <c r="AO302"/>
      <c r="AP302" s="301"/>
      <c r="AQ302" s="313">
        <f t="shared" si="39"/>
        <v>227</v>
      </c>
      <c r="AR302">
        <f t="shared" si="41"/>
        <v>0</v>
      </c>
      <c r="AS302">
        <f t="shared" si="40"/>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1047.3910000000001</v>
      </c>
      <c r="I303" s="355"/>
      <c r="J303" s="312">
        <f>SUM(J262:J302)</f>
        <v>1310.3021000000001</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1.2510152369077068</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216</v>
      </c>
      <c r="D305" s="339"/>
      <c r="E305" s="422">
        <v>1736.79</v>
      </c>
      <c r="F305" s="360">
        <v>1</v>
      </c>
      <c r="G305" s="361" t="s">
        <v>68</v>
      </c>
      <c r="H305" s="360">
        <f>+H303/F303*100%</f>
        <v>0.57743046349665439</v>
      </c>
      <c r="I305" s="362"/>
      <c r="J305" s="297">
        <f>+J303/F303</f>
        <v>0.72237430808899417</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327"/>
      <c r="C307" s="289"/>
      <c r="D307" s="289"/>
      <c r="E307" s="289"/>
      <c r="F307" s="569">
        <v>22</v>
      </c>
      <c r="G307" s="620" t="s">
        <v>258</v>
      </c>
      <c r="H307" s="569">
        <v>2022</v>
      </c>
      <c r="I307" s="289"/>
      <c r="J307" s="289"/>
      <c r="K307" s="344"/>
      <c r="L307" s="345"/>
      <c r="M307" s="194"/>
      <c r="AB307"/>
      <c r="AC307"/>
      <c r="AD307"/>
      <c r="AE307"/>
      <c r="AF307"/>
      <c r="AG307"/>
      <c r="AH307"/>
      <c r="AI307"/>
      <c r="AJ307"/>
      <c r="AK307"/>
      <c r="AL307"/>
      <c r="AM307"/>
      <c r="AN307"/>
      <c r="AO307"/>
      <c r="AP307" s="301"/>
      <c r="AQ307" s="313">
        <f t="shared" si="39"/>
        <v>229</v>
      </c>
      <c r="AR307">
        <f t="shared" si="42"/>
        <v>0</v>
      </c>
      <c r="AS307">
        <f t="shared" si="40"/>
        <v>0</v>
      </c>
      <c r="AT307"/>
      <c r="AU307"/>
      <c r="AV307"/>
      <c r="AW307"/>
      <c r="AX307"/>
      <c r="AY307"/>
      <c r="AZ307"/>
      <c r="BA307"/>
      <c r="BB307"/>
      <c r="BC307"/>
      <c r="BD307"/>
      <c r="BE307"/>
    </row>
    <row r="308" spans="2:57" ht="27" customHeight="1" x14ac:dyDescent="0.2">
      <c r="B308" s="426" t="s">
        <v>18</v>
      </c>
      <c r="C308" s="429" t="s">
        <v>19</v>
      </c>
      <c r="D308" s="429" t="s">
        <v>73</v>
      </c>
      <c r="E308" s="915" t="s">
        <v>20</v>
      </c>
      <c r="F308" s="916"/>
      <c r="G308" s="517" t="s">
        <v>94</v>
      </c>
      <c r="H308" s="518"/>
      <c r="I308" s="915" t="s">
        <v>22</v>
      </c>
      <c r="J308" s="916"/>
      <c r="K308" s="423" t="s">
        <v>160</v>
      </c>
      <c r="L308" s="346"/>
      <c r="M308" s="194"/>
      <c r="AB308"/>
      <c r="AC308"/>
      <c r="AD308"/>
      <c r="AE308"/>
      <c r="AF308"/>
      <c r="AG308"/>
      <c r="AH308"/>
      <c r="AI308"/>
      <c r="AJ308"/>
      <c r="AK308"/>
      <c r="AL308"/>
      <c r="AM308"/>
      <c r="AN308"/>
      <c r="AO308"/>
      <c r="AP308" s="301"/>
      <c r="AQ308" s="313">
        <f t="shared" si="39"/>
        <v>230</v>
      </c>
      <c r="AR308">
        <f t="shared" si="42"/>
        <v>0</v>
      </c>
      <c r="AS308">
        <f t="shared" si="40"/>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39"/>
        <v>231</v>
      </c>
      <c r="AR309">
        <f t="shared" si="42"/>
        <v>0</v>
      </c>
      <c r="AS309">
        <f t="shared" si="40"/>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39"/>
        <v>232</v>
      </c>
      <c r="AR310">
        <f t="shared" si="42"/>
        <v>0</v>
      </c>
      <c r="AS310">
        <f t="shared" si="40"/>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39"/>
        <v>233</v>
      </c>
      <c r="AR311">
        <f t="shared" si="42"/>
        <v>0</v>
      </c>
      <c r="AS311">
        <f t="shared" si="40"/>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55.73</v>
      </c>
      <c r="H312" s="493">
        <v>30.89</v>
      </c>
      <c r="I312" s="731">
        <v>55.38</v>
      </c>
      <c r="J312" s="770">
        <v>28.911000000000001</v>
      </c>
      <c r="K312" s="348" t="s">
        <v>191</v>
      </c>
      <c r="L312" s="527"/>
      <c r="M312" s="792">
        <v>17.948</v>
      </c>
      <c r="AB312"/>
      <c r="AC312"/>
      <c r="AD312"/>
      <c r="AE312"/>
      <c r="AF312"/>
      <c r="AG312"/>
      <c r="AH312"/>
      <c r="AI312"/>
      <c r="AJ312"/>
      <c r="AK312"/>
      <c r="AL312"/>
      <c r="AM312"/>
      <c r="AN312"/>
      <c r="AO312"/>
      <c r="AP312" s="301"/>
      <c r="AQ312" s="313">
        <f t="shared" si="39"/>
        <v>234</v>
      </c>
      <c r="AR312">
        <f t="shared" si="42"/>
        <v>0</v>
      </c>
      <c r="AS312">
        <f t="shared" si="40"/>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338.7</v>
      </c>
      <c r="H313" s="333">
        <v>7.0949999999999998</v>
      </c>
      <c r="I313" s="286">
        <v>339.09</v>
      </c>
      <c r="J313" s="771">
        <v>7.4269999999999996</v>
      </c>
      <c r="K313" s="348" t="s">
        <v>191</v>
      </c>
      <c r="L313" s="528"/>
      <c r="M313" s="793">
        <v>6.26</v>
      </c>
      <c r="AB313"/>
      <c r="AC313"/>
      <c r="AD313"/>
      <c r="AE313"/>
      <c r="AF313"/>
      <c r="AG313"/>
      <c r="AH313"/>
      <c r="AI313"/>
      <c r="AJ313"/>
      <c r="AK313"/>
      <c r="AL313"/>
      <c r="AM313"/>
      <c r="AN313"/>
      <c r="AO313"/>
      <c r="AP313" s="301"/>
      <c r="AQ313" s="313">
        <f t="shared" si="39"/>
        <v>235</v>
      </c>
      <c r="AR313">
        <f t="shared" si="42"/>
        <v>0</v>
      </c>
      <c r="AS313">
        <f t="shared" si="40"/>
        <v>0</v>
      </c>
      <c r="AT313"/>
      <c r="AU313"/>
      <c r="AV313"/>
      <c r="AW313"/>
      <c r="AX313"/>
      <c r="AY313"/>
      <c r="AZ313"/>
      <c r="BA313"/>
      <c r="BB313"/>
      <c r="BC313"/>
      <c r="BD313"/>
      <c r="BE313"/>
    </row>
    <row r="314" spans="2:57" ht="27" customHeight="1" x14ac:dyDescent="0.2">
      <c r="B314" s="332">
        <f t="shared" ref="B314:B348" si="43">+B313+1</f>
        <v>3</v>
      </c>
      <c r="C314" s="381" t="s">
        <v>30</v>
      </c>
      <c r="D314" s="381" t="s">
        <v>75</v>
      </c>
      <c r="E314" s="374">
        <v>77.5</v>
      </c>
      <c r="F314" s="351">
        <v>49.02</v>
      </c>
      <c r="G314" s="286">
        <v>74.11</v>
      </c>
      <c r="H314" s="333">
        <v>29.640999999999998</v>
      </c>
      <c r="I314" s="286">
        <v>77.67</v>
      </c>
      <c r="J314" s="771">
        <v>50.14</v>
      </c>
      <c r="K314" s="348"/>
      <c r="L314" s="528"/>
      <c r="M314" s="793">
        <v>30.849</v>
      </c>
      <c r="AB314"/>
      <c r="AC314"/>
      <c r="AD314"/>
      <c r="AE314"/>
      <c r="AF314"/>
      <c r="AG314"/>
      <c r="AH314"/>
      <c r="AI314"/>
      <c r="AJ314"/>
      <c r="AK314"/>
      <c r="AL314"/>
      <c r="AM314"/>
      <c r="AN314"/>
      <c r="AO314"/>
      <c r="AP314" s="301"/>
      <c r="AQ314" s="313">
        <f t="shared" si="39"/>
        <v>236</v>
      </c>
      <c r="AR314">
        <f t="shared" si="42"/>
        <v>0</v>
      </c>
      <c r="AS314">
        <f t="shared" si="40"/>
        <v>0</v>
      </c>
      <c r="AT314"/>
      <c r="AU314"/>
      <c r="AV314"/>
      <c r="AW314"/>
      <c r="AX314"/>
      <c r="AY314"/>
      <c r="AZ314"/>
      <c r="BA314"/>
      <c r="BB314"/>
      <c r="BC314"/>
      <c r="BD314"/>
      <c r="BE314"/>
    </row>
    <row r="315" spans="2:57" ht="27" customHeight="1" x14ac:dyDescent="0.3">
      <c r="B315" s="332">
        <f t="shared" si="43"/>
        <v>4</v>
      </c>
      <c r="C315" s="381" t="s">
        <v>31</v>
      </c>
      <c r="D315" s="381" t="s">
        <v>76</v>
      </c>
      <c r="E315" s="374">
        <v>463.3</v>
      </c>
      <c r="F315" s="351">
        <v>49.9</v>
      </c>
      <c r="G315" s="373">
        <v>462.39</v>
      </c>
      <c r="H315" s="373">
        <v>35.720999999999997</v>
      </c>
      <c r="I315" s="351">
        <v>462.65</v>
      </c>
      <c r="J315" s="772">
        <v>38.179000000000002</v>
      </c>
      <c r="K315" s="348" t="s">
        <v>191</v>
      </c>
      <c r="L315" s="434"/>
      <c r="M315" s="446">
        <v>31.289000000000001</v>
      </c>
      <c r="N315" s="436"/>
      <c r="AB315"/>
      <c r="AC315"/>
      <c r="AD315"/>
      <c r="AE315"/>
      <c r="AF315"/>
      <c r="AG315"/>
      <c r="AH315"/>
      <c r="AI315"/>
      <c r="AJ315"/>
      <c r="AK315"/>
      <c r="AL315"/>
      <c r="AM315"/>
      <c r="AN315"/>
      <c r="AO315"/>
      <c r="AP315" s="301"/>
      <c r="AQ315" s="313">
        <f t="shared" si="39"/>
        <v>237</v>
      </c>
      <c r="AR315">
        <f t="shared" si="42"/>
        <v>0</v>
      </c>
      <c r="AS315">
        <f t="shared" si="40"/>
        <v>0</v>
      </c>
      <c r="AT315"/>
      <c r="AU315"/>
      <c r="AV315"/>
      <c r="AW315"/>
      <c r="AX315"/>
      <c r="AY315"/>
      <c r="AZ315"/>
      <c r="BA315"/>
      <c r="BB315"/>
      <c r="BC315"/>
      <c r="BD315"/>
      <c r="BE315"/>
    </row>
    <row r="316" spans="2:57" ht="27" customHeight="1" x14ac:dyDescent="0.25">
      <c r="B316" s="332">
        <f t="shared" si="43"/>
        <v>5</v>
      </c>
      <c r="C316" s="381" t="s">
        <v>32</v>
      </c>
      <c r="D316" s="381" t="s">
        <v>77</v>
      </c>
      <c r="E316" s="374">
        <v>207</v>
      </c>
      <c r="F316" s="351">
        <v>9.5030000000000001</v>
      </c>
      <c r="G316" s="286">
        <v>205.3</v>
      </c>
      <c r="H316" s="287">
        <v>7.3540000000000001</v>
      </c>
      <c r="I316" s="725">
        <v>206.3</v>
      </c>
      <c r="J316" s="771">
        <v>8.67</v>
      </c>
      <c r="K316" s="348" t="s">
        <v>191</v>
      </c>
      <c r="M316" s="446">
        <v>4.806</v>
      </c>
      <c r="AB316"/>
      <c r="AC316"/>
      <c r="AD316"/>
      <c r="AE316"/>
      <c r="AF316"/>
      <c r="AG316"/>
      <c r="AH316"/>
      <c r="AI316"/>
      <c r="AJ316"/>
      <c r="AK316"/>
      <c r="AL316"/>
      <c r="AM316"/>
      <c r="AN316"/>
      <c r="AO316"/>
      <c r="AP316" s="301"/>
      <c r="AQ316" s="313">
        <f t="shared" si="39"/>
        <v>238</v>
      </c>
      <c r="AR316">
        <f>IF(AJ31="tad","tad",AJ31)</f>
        <v>0</v>
      </c>
      <c r="AS316">
        <f t="shared" si="40"/>
        <v>0</v>
      </c>
      <c r="AT316"/>
      <c r="AU316"/>
      <c r="AV316"/>
      <c r="AW316"/>
      <c r="AX316"/>
      <c r="AY316"/>
      <c r="AZ316"/>
      <c r="BA316"/>
      <c r="BB316"/>
      <c r="BC316"/>
      <c r="BD316"/>
      <c r="BE316"/>
    </row>
    <row r="317" spans="2:57" ht="27" customHeight="1" x14ac:dyDescent="0.25">
      <c r="B317" s="332">
        <f t="shared" si="43"/>
        <v>6</v>
      </c>
      <c r="C317" s="381" t="s">
        <v>33</v>
      </c>
      <c r="D317" s="381" t="s">
        <v>77</v>
      </c>
      <c r="E317" s="374">
        <v>320</v>
      </c>
      <c r="F317" s="351">
        <v>5.1509999999999998</v>
      </c>
      <c r="G317" s="286">
        <v>316.26</v>
      </c>
      <c r="H317" s="287">
        <v>3.4660000000000002</v>
      </c>
      <c r="I317" s="725">
        <v>317.35000000000002</v>
      </c>
      <c r="J317" s="771">
        <v>3.9460000000000002</v>
      </c>
      <c r="K317" s="348" t="s">
        <v>191</v>
      </c>
      <c r="M317" s="446">
        <v>1.2589999999999999</v>
      </c>
      <c r="AB317"/>
      <c r="AC317"/>
      <c r="AD317"/>
      <c r="AE317"/>
      <c r="AF317"/>
      <c r="AG317"/>
      <c r="AH317"/>
      <c r="AI317"/>
      <c r="AJ317"/>
      <c r="AK317"/>
      <c r="AL317"/>
      <c r="AM317"/>
      <c r="AN317"/>
      <c r="AO317"/>
      <c r="AP317" s="301"/>
      <c r="AQ317" s="313">
        <f t="shared" si="39"/>
        <v>239</v>
      </c>
      <c r="AR317">
        <f>IF(AJ32="tad","tad",AJ32)</f>
        <v>0</v>
      </c>
      <c r="AS317">
        <f t="shared" si="40"/>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85.14</v>
      </c>
      <c r="H318" s="286">
        <v>466.26100000000002</v>
      </c>
      <c r="I318" s="725">
        <v>88.3</v>
      </c>
      <c r="J318" s="771">
        <v>601.70299999999997</v>
      </c>
      <c r="K318" s="348" t="s">
        <v>191</v>
      </c>
      <c r="M318" s="446">
        <v>325.51900000000001</v>
      </c>
      <c r="AB318"/>
      <c r="AC318"/>
      <c r="AD318"/>
      <c r="AE318"/>
      <c r="AF318"/>
      <c r="AG318"/>
      <c r="AH318"/>
      <c r="AI318"/>
      <c r="AJ318"/>
      <c r="AK318"/>
      <c r="AL318"/>
      <c r="AM318"/>
      <c r="AN318"/>
      <c r="AO318"/>
      <c r="AP318" s="301"/>
      <c r="AQ318" s="313">
        <f t="shared" si="39"/>
        <v>240</v>
      </c>
      <c r="AR318">
        <f>IF(AJ33="tad","tad",AJ33)</f>
        <v>0</v>
      </c>
      <c r="AS318">
        <f t="shared" si="40"/>
        <v>0</v>
      </c>
      <c r="AT318"/>
      <c r="AU318"/>
      <c r="AV318"/>
      <c r="AW318"/>
      <c r="AX318"/>
      <c r="AY318"/>
      <c r="AZ318"/>
      <c r="BA318"/>
      <c r="BB318"/>
      <c r="BC318"/>
      <c r="BD318"/>
      <c r="BE318"/>
    </row>
    <row r="319" spans="2:57" ht="27" customHeight="1" x14ac:dyDescent="0.2">
      <c r="B319" s="332">
        <f t="shared" si="43"/>
        <v>6</v>
      </c>
      <c r="C319" s="381" t="s">
        <v>35</v>
      </c>
      <c r="D319" s="381" t="s">
        <v>79</v>
      </c>
      <c r="E319" s="374">
        <v>120.5</v>
      </c>
      <c r="F319" s="351">
        <v>2.0920000000000001</v>
      </c>
      <c r="G319" s="286">
        <v>118.44</v>
      </c>
      <c r="H319" s="333">
        <v>1.232</v>
      </c>
      <c r="I319" s="375">
        <v>117.33</v>
      </c>
      <c r="J319" s="771">
        <v>0.64900000000000002</v>
      </c>
      <c r="K319" s="348" t="s">
        <v>191</v>
      </c>
      <c r="M319" s="446">
        <v>0.28899999999999998</v>
      </c>
      <c r="AB319"/>
      <c r="AC319"/>
      <c r="AD319"/>
      <c r="AE319"/>
      <c r="AF319"/>
      <c r="AG319"/>
      <c r="AH319"/>
      <c r="AI319"/>
      <c r="AJ319"/>
      <c r="AK319"/>
      <c r="AL319"/>
      <c r="AM319"/>
      <c r="AN319"/>
      <c r="AO319"/>
      <c r="AP319" s="301"/>
      <c r="AQ319" s="313">
        <f t="shared" si="39"/>
        <v>241</v>
      </c>
      <c r="AR319">
        <f t="shared" si="42"/>
        <v>0</v>
      </c>
      <c r="AS319">
        <f t="shared" si="40"/>
        <v>0</v>
      </c>
      <c r="AT319"/>
      <c r="AU319"/>
      <c r="AV319"/>
      <c r="AW319"/>
      <c r="AX319"/>
      <c r="AY319"/>
      <c r="AZ319"/>
      <c r="BA319"/>
      <c r="BB319"/>
      <c r="BC319"/>
      <c r="BD319"/>
      <c r="BE319"/>
    </row>
    <row r="320" spans="2:57" ht="27" customHeight="1" x14ac:dyDescent="0.25">
      <c r="B320" s="332">
        <f t="shared" si="43"/>
        <v>7</v>
      </c>
      <c r="C320" s="381" t="s">
        <v>36</v>
      </c>
      <c r="D320" s="381" t="s">
        <v>79</v>
      </c>
      <c r="E320" s="374">
        <v>120.8</v>
      </c>
      <c r="F320" s="351">
        <v>2.3530000000000002</v>
      </c>
      <c r="G320" s="286">
        <v>115.88</v>
      </c>
      <c r="H320" s="333">
        <v>0.96199999999999997</v>
      </c>
      <c r="I320" s="732">
        <v>116.39</v>
      </c>
      <c r="J320" s="773">
        <v>0.32500000000000001</v>
      </c>
      <c r="K320" s="348" t="s">
        <v>191</v>
      </c>
      <c r="M320" s="446">
        <v>0.57699999999999996</v>
      </c>
      <c r="AB320"/>
      <c r="AC320"/>
      <c r="AD320"/>
      <c r="AE320"/>
      <c r="AF320"/>
      <c r="AG320"/>
      <c r="AH320"/>
      <c r="AI320"/>
      <c r="AJ320"/>
      <c r="AK320"/>
      <c r="AL320"/>
      <c r="AM320"/>
      <c r="AN320"/>
      <c r="AO320"/>
      <c r="AP320" s="301"/>
      <c r="AQ320" s="313">
        <f t="shared" si="39"/>
        <v>242</v>
      </c>
      <c r="AR320">
        <f t="shared" si="42"/>
        <v>0</v>
      </c>
      <c r="AS320">
        <f t="shared" si="40"/>
        <v>0</v>
      </c>
      <c r="AT320"/>
      <c r="AU320"/>
      <c r="AV320"/>
      <c r="AW320"/>
      <c r="AX320"/>
      <c r="AY320"/>
      <c r="AZ320"/>
      <c r="BA320"/>
      <c r="BB320"/>
      <c r="BC320"/>
      <c r="BD320"/>
      <c r="BE320"/>
    </row>
    <row r="321" spans="2:57" ht="27" customHeight="1" x14ac:dyDescent="0.25">
      <c r="B321" s="332">
        <f t="shared" si="43"/>
        <v>8</v>
      </c>
      <c r="C321" s="381" t="s">
        <v>37</v>
      </c>
      <c r="D321" s="381" t="s">
        <v>80</v>
      </c>
      <c r="E321" s="374">
        <v>46.5</v>
      </c>
      <c r="F321" s="374">
        <v>4.5999999999999996</v>
      </c>
      <c r="G321" s="286">
        <v>42.79</v>
      </c>
      <c r="H321" s="286">
        <v>1.9059999999999999</v>
      </c>
      <c r="I321" s="725">
        <v>42.58</v>
      </c>
      <c r="J321" s="771">
        <v>0.50700000000000001</v>
      </c>
      <c r="K321" s="348" t="s">
        <v>191</v>
      </c>
      <c r="M321" s="446">
        <v>1.4339999999999999</v>
      </c>
      <c r="AB321"/>
      <c r="AC321"/>
      <c r="AD321"/>
      <c r="AE321"/>
      <c r="AF321"/>
      <c r="AG321"/>
      <c r="AH321"/>
      <c r="AI321"/>
      <c r="AJ321"/>
      <c r="AK321"/>
      <c r="AL321"/>
      <c r="AM321"/>
      <c r="AN321"/>
      <c r="AO321"/>
      <c r="AP321" s="301"/>
      <c r="AQ321" s="313">
        <f t="shared" si="39"/>
        <v>243</v>
      </c>
      <c r="AR321">
        <f t="shared" si="42"/>
        <v>0</v>
      </c>
      <c r="AS321">
        <f t="shared" si="40"/>
        <v>0</v>
      </c>
      <c r="AT321"/>
      <c r="AU321"/>
      <c r="AV321"/>
      <c r="AW321"/>
      <c r="AX321"/>
      <c r="AY321"/>
      <c r="AZ321"/>
      <c r="BA321"/>
      <c r="BB321"/>
      <c r="BC321"/>
      <c r="BD321"/>
      <c r="BE321"/>
    </row>
    <row r="322" spans="2:57" ht="27" customHeight="1" x14ac:dyDescent="0.25">
      <c r="B322" s="332">
        <f t="shared" si="43"/>
        <v>9</v>
      </c>
      <c r="C322" s="381" t="s">
        <v>39</v>
      </c>
      <c r="D322" s="381" t="s">
        <v>80</v>
      </c>
      <c r="E322" s="374">
        <v>51.5</v>
      </c>
      <c r="F322" s="351">
        <v>2.4159999999999999</v>
      </c>
      <c r="G322" s="286">
        <v>48.52</v>
      </c>
      <c r="H322" s="286">
        <v>1.4239999999999999</v>
      </c>
      <c r="I322" s="729">
        <v>49.68</v>
      </c>
      <c r="J322" s="771">
        <v>1.8029999999999999</v>
      </c>
      <c r="K322" s="348" t="s">
        <v>191</v>
      </c>
      <c r="M322" s="446">
        <v>2.0419999999999998</v>
      </c>
      <c r="AB322"/>
      <c r="AC322"/>
      <c r="AD322"/>
      <c r="AE322"/>
      <c r="AF322"/>
      <c r="AG322"/>
      <c r="AH322"/>
      <c r="AI322"/>
      <c r="AJ322"/>
      <c r="AK322"/>
      <c r="AL322"/>
      <c r="AM322"/>
      <c r="AN322"/>
      <c r="AO322"/>
      <c r="AP322" s="301"/>
      <c r="AQ322" s="313">
        <f t="shared" si="39"/>
        <v>244</v>
      </c>
      <c r="AR322">
        <f t="shared" si="42"/>
        <v>0</v>
      </c>
      <c r="AS322">
        <f t="shared" si="40"/>
        <v>0</v>
      </c>
      <c r="AT322"/>
      <c r="AU322"/>
      <c r="AV322"/>
      <c r="AW322"/>
      <c r="AX322"/>
      <c r="AY322"/>
      <c r="AZ322"/>
      <c r="BA322"/>
      <c r="BB322"/>
      <c r="BC322"/>
      <c r="BD322"/>
      <c r="BE322"/>
    </row>
    <row r="323" spans="2:57" ht="27" customHeight="1" x14ac:dyDescent="0.25">
      <c r="B323" s="332">
        <f t="shared" si="43"/>
        <v>10</v>
      </c>
      <c r="C323" s="381" t="s">
        <v>40</v>
      </c>
      <c r="D323" s="381" t="s">
        <v>78</v>
      </c>
      <c r="E323" s="374">
        <v>81</v>
      </c>
      <c r="F323" s="351">
        <v>1.093</v>
      </c>
      <c r="G323" s="286">
        <v>79.91</v>
      </c>
      <c r="H323" s="333">
        <v>0.745</v>
      </c>
      <c r="I323" s="725">
        <v>78.64</v>
      </c>
      <c r="J323" s="771">
        <v>0.85799999999999998</v>
      </c>
      <c r="K323" s="348" t="s">
        <v>191</v>
      </c>
      <c r="M323" s="446">
        <v>0.73499999999999999</v>
      </c>
      <c r="AB323"/>
      <c r="AC323"/>
      <c r="AD323"/>
      <c r="AE323"/>
      <c r="AF323"/>
      <c r="AG323"/>
      <c r="AH323"/>
      <c r="AI323"/>
      <c r="AJ323"/>
      <c r="AK323"/>
      <c r="AL323"/>
      <c r="AM323"/>
      <c r="AN323"/>
      <c r="AO323"/>
      <c r="AP323" s="301"/>
      <c r="AQ323" s="313">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332">
        <f t="shared" si="43"/>
        <v>11</v>
      </c>
      <c r="C324" s="381" t="s">
        <v>41</v>
      </c>
      <c r="D324" s="381" t="s">
        <v>78</v>
      </c>
      <c r="E324" s="374">
        <v>82.8</v>
      </c>
      <c r="F324" s="351">
        <v>0.42899999999999999</v>
      </c>
      <c r="G324" s="286">
        <v>81.96</v>
      </c>
      <c r="H324" s="333">
        <v>0.30299999999999999</v>
      </c>
      <c r="I324" s="725">
        <v>81.52</v>
      </c>
      <c r="J324" s="771">
        <v>5.7000000000000002E-2</v>
      </c>
      <c r="K324" s="348" t="s">
        <v>191</v>
      </c>
      <c r="M324" s="446">
        <v>4.2999999999999997E-2</v>
      </c>
      <c r="AB324"/>
      <c r="AC324"/>
      <c r="AD324"/>
      <c r="AE324"/>
      <c r="AF324"/>
      <c r="AG324"/>
      <c r="AH324"/>
      <c r="AI324"/>
      <c r="AJ324"/>
      <c r="AK324"/>
      <c r="AL324"/>
      <c r="AM324"/>
      <c r="AN324"/>
      <c r="AO324"/>
      <c r="AP324" s="301"/>
      <c r="AQ324" s="313">
        <f t="shared" si="39"/>
        <v>246</v>
      </c>
      <c r="AR324">
        <f t="shared" si="44"/>
        <v>0</v>
      </c>
      <c r="AS324">
        <f t="shared" si="40"/>
        <v>0</v>
      </c>
      <c r="AT324"/>
      <c r="AU324"/>
      <c r="AV324"/>
      <c r="AW324"/>
      <c r="AX324"/>
      <c r="AY324"/>
      <c r="AZ324"/>
      <c r="BA324"/>
      <c r="BB324"/>
      <c r="BC324"/>
      <c r="BD324"/>
      <c r="BE324"/>
    </row>
    <row r="325" spans="2:57" ht="27" customHeight="1" x14ac:dyDescent="0.25">
      <c r="B325" s="332">
        <f t="shared" si="43"/>
        <v>12</v>
      </c>
      <c r="C325" s="381" t="s">
        <v>42</v>
      </c>
      <c r="D325" s="381" t="s">
        <v>78</v>
      </c>
      <c r="E325" s="374">
        <v>69.95</v>
      </c>
      <c r="F325" s="351">
        <v>0.25</v>
      </c>
      <c r="G325" s="286">
        <v>69.47</v>
      </c>
      <c r="H325" s="286">
        <v>0.17599999999999999</v>
      </c>
      <c r="I325" s="725">
        <v>63.64</v>
      </c>
      <c r="J325" s="771">
        <v>0.20899999999999999</v>
      </c>
      <c r="K325" s="348" t="s">
        <v>191</v>
      </c>
      <c r="M325" s="446">
        <v>0.16800000000000001</v>
      </c>
      <c r="AB325"/>
      <c r="AC325"/>
      <c r="AD325"/>
      <c r="AE325"/>
      <c r="AF325"/>
      <c r="AG325"/>
      <c r="AH325"/>
      <c r="AI325"/>
      <c r="AJ325"/>
      <c r="AK325"/>
      <c r="AL325"/>
      <c r="AM325"/>
      <c r="AN325"/>
      <c r="AO325"/>
      <c r="AP325" s="301"/>
      <c r="AQ325" s="313">
        <f t="shared" si="39"/>
        <v>247</v>
      </c>
      <c r="AR325">
        <f t="shared" si="44"/>
        <v>0</v>
      </c>
      <c r="AS325">
        <f t="shared" si="40"/>
        <v>0</v>
      </c>
      <c r="AT325"/>
      <c r="AU325"/>
      <c r="AV325"/>
      <c r="AW325"/>
      <c r="AX325"/>
      <c r="AY325"/>
      <c r="AZ325"/>
      <c r="BA325"/>
      <c r="BB325"/>
      <c r="BC325"/>
      <c r="BD325"/>
      <c r="BE325"/>
    </row>
    <row r="326" spans="2:57" ht="27" customHeight="1" x14ac:dyDescent="0.25">
      <c r="B326" s="332">
        <f t="shared" si="43"/>
        <v>13</v>
      </c>
      <c r="C326" s="381" t="s">
        <v>43</v>
      </c>
      <c r="D326" s="381" t="s">
        <v>78</v>
      </c>
      <c r="E326" s="374">
        <v>48.2</v>
      </c>
      <c r="F326" s="351">
        <v>0.38500000000000001</v>
      </c>
      <c r="G326" s="286">
        <v>45.8</v>
      </c>
      <c r="H326" s="333">
        <v>8.4000000000000005E-2</v>
      </c>
      <c r="I326" s="725">
        <v>47.04</v>
      </c>
      <c r="J326" s="771">
        <v>0.39700000000000002</v>
      </c>
      <c r="K326" s="348" t="s">
        <v>191</v>
      </c>
      <c r="M326" s="446">
        <v>0.27500000000000002</v>
      </c>
      <c r="AB326"/>
      <c r="AC326"/>
      <c r="AD326"/>
      <c r="AE326"/>
      <c r="AF326"/>
      <c r="AG326"/>
      <c r="AH326"/>
      <c r="AI326"/>
      <c r="AJ326"/>
      <c r="AK326"/>
      <c r="AL326"/>
      <c r="AM326"/>
      <c r="AN326"/>
      <c r="AO326"/>
      <c r="AP326" s="301"/>
      <c r="AQ326" s="313">
        <f t="shared" si="39"/>
        <v>248</v>
      </c>
      <c r="AR326">
        <f t="shared" si="44"/>
        <v>0</v>
      </c>
      <c r="AS326">
        <f t="shared" si="40"/>
        <v>0</v>
      </c>
      <c r="AT326"/>
      <c r="AU326"/>
      <c r="AV326"/>
      <c r="AW326"/>
      <c r="AX326"/>
      <c r="AY326"/>
      <c r="AZ326"/>
      <c r="BA326"/>
      <c r="BB326"/>
      <c r="BC326"/>
      <c r="BD326"/>
      <c r="BE326"/>
    </row>
    <row r="327" spans="2:57" ht="27" customHeight="1" x14ac:dyDescent="0.2">
      <c r="B327" s="332">
        <f t="shared" si="43"/>
        <v>14</v>
      </c>
      <c r="C327" s="381" t="s">
        <v>81</v>
      </c>
      <c r="D327" s="381" t="s">
        <v>44</v>
      </c>
      <c r="E327" s="374">
        <v>136</v>
      </c>
      <c r="F327" s="351">
        <v>440</v>
      </c>
      <c r="G327" s="286">
        <v>132.91999999999999</v>
      </c>
      <c r="H327" s="286">
        <v>211.166</v>
      </c>
      <c r="I327" s="286">
        <v>132.54</v>
      </c>
      <c r="J327" s="774">
        <v>201.91</v>
      </c>
      <c r="K327" s="348" t="s">
        <v>191</v>
      </c>
      <c r="L327" s="349"/>
      <c r="M327" s="452">
        <v>100.75</v>
      </c>
      <c r="AB327"/>
      <c r="AC327"/>
      <c r="AD327"/>
      <c r="AE327"/>
      <c r="AF327"/>
      <c r="AG327"/>
      <c r="AH327"/>
      <c r="AI327"/>
      <c r="AJ327"/>
      <c r="AK327"/>
      <c r="AL327"/>
      <c r="AM327"/>
      <c r="AN327"/>
      <c r="AO327"/>
      <c r="AP327" s="301"/>
      <c r="AQ327" s="313">
        <f t="shared" si="39"/>
        <v>249</v>
      </c>
      <c r="AR327">
        <f t="shared" si="44"/>
        <v>0</v>
      </c>
      <c r="AS327">
        <f t="shared" si="40"/>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113</v>
      </c>
      <c r="H328" s="286">
        <v>2.1120000000000001</v>
      </c>
      <c r="I328" s="287">
        <v>112.29</v>
      </c>
      <c r="J328" s="774">
        <v>1.8089999999999999</v>
      </c>
      <c r="K328" s="348"/>
      <c r="L328" s="349"/>
      <c r="M328" s="452">
        <v>0.13300000000000001</v>
      </c>
      <c r="AB328"/>
      <c r="AC328"/>
      <c r="AD328"/>
      <c r="AE328"/>
      <c r="AF328"/>
      <c r="AG328"/>
      <c r="AH328"/>
      <c r="AI328"/>
      <c r="AJ328"/>
      <c r="AK328"/>
      <c r="AL328"/>
      <c r="AM328"/>
      <c r="AN328"/>
      <c r="AO328"/>
      <c r="AP328" s="301"/>
      <c r="AQ328" s="313">
        <f t="shared" si="39"/>
        <v>250</v>
      </c>
      <c r="AR328">
        <f t="shared" si="44"/>
        <v>0</v>
      </c>
      <c r="AS328">
        <f t="shared" si="40"/>
        <v>0</v>
      </c>
      <c r="AT328"/>
      <c r="AU328"/>
      <c r="AV328"/>
      <c r="AW328"/>
      <c r="AX328"/>
      <c r="AY328"/>
      <c r="AZ328"/>
      <c r="BA328"/>
      <c r="BB328"/>
      <c r="BC328"/>
      <c r="BD328"/>
      <c r="BE328"/>
    </row>
    <row r="329" spans="2:57" ht="27" customHeight="1" x14ac:dyDescent="0.2">
      <c r="B329" s="332">
        <f t="shared" si="43"/>
        <v>16</v>
      </c>
      <c r="C329" s="381" t="s">
        <v>46</v>
      </c>
      <c r="D329" s="381" t="s">
        <v>44</v>
      </c>
      <c r="E329" s="374">
        <v>225.4</v>
      </c>
      <c r="F329" s="374">
        <v>1.2</v>
      </c>
      <c r="G329" s="286">
        <v>203.5</v>
      </c>
      <c r="H329" s="286">
        <v>0.27300000000000002</v>
      </c>
      <c r="I329" s="286">
        <v>201.5</v>
      </c>
      <c r="J329" s="774">
        <v>0.1046</v>
      </c>
      <c r="K329" s="348"/>
      <c r="L329" s="349"/>
      <c r="M329" s="452">
        <v>4.9799999999999997E-2</v>
      </c>
      <c r="AB329"/>
      <c r="AC329"/>
      <c r="AD329"/>
      <c r="AE329"/>
      <c r="AF329"/>
      <c r="AG329"/>
      <c r="AH329"/>
      <c r="AI329"/>
      <c r="AJ329"/>
      <c r="AK329"/>
      <c r="AL329"/>
      <c r="AM329"/>
      <c r="AN329"/>
      <c r="AO329"/>
      <c r="AP329" s="301"/>
      <c r="AQ329" s="313">
        <f t="shared" si="39"/>
        <v>251</v>
      </c>
      <c r="AR329">
        <f t="shared" si="44"/>
        <v>0</v>
      </c>
      <c r="AS329">
        <f t="shared" si="40"/>
        <v>0</v>
      </c>
      <c r="AT329"/>
      <c r="AU329"/>
      <c r="AV329"/>
      <c r="AW329"/>
      <c r="AX329"/>
      <c r="AY329"/>
      <c r="AZ329"/>
      <c r="BA329"/>
      <c r="BB329"/>
      <c r="BC329"/>
      <c r="BD329"/>
      <c r="BE329"/>
    </row>
    <row r="330" spans="2:57" ht="27" customHeight="1" x14ac:dyDescent="0.2">
      <c r="B330" s="332">
        <f t="shared" si="43"/>
        <v>17</v>
      </c>
      <c r="C330" s="381" t="s">
        <v>47</v>
      </c>
      <c r="D330" s="381" t="s">
        <v>44</v>
      </c>
      <c r="E330" s="374">
        <v>224</v>
      </c>
      <c r="F330" s="351">
        <v>0.6</v>
      </c>
      <c r="G330" s="286">
        <v>223.53</v>
      </c>
      <c r="H330" s="286">
        <v>0.38400000000000001</v>
      </c>
      <c r="I330" s="287">
        <v>221.14</v>
      </c>
      <c r="J330" s="775">
        <v>0.2162</v>
      </c>
      <c r="K330" s="348"/>
      <c r="L330" s="349"/>
      <c r="M330" s="453">
        <v>4.1399999999999999E-2</v>
      </c>
      <c r="AB330"/>
      <c r="AC330"/>
      <c r="AD330"/>
      <c r="AE330"/>
      <c r="AF330"/>
      <c r="AG330"/>
      <c r="AH330"/>
      <c r="AI330"/>
      <c r="AJ330"/>
      <c r="AK330"/>
      <c r="AL330"/>
      <c r="AM330"/>
      <c r="AN330"/>
      <c r="AO330"/>
      <c r="AP330" s="301"/>
      <c r="AQ330" s="313">
        <f t="shared" si="39"/>
        <v>252</v>
      </c>
      <c r="AR330">
        <f t="shared" si="44"/>
        <v>0</v>
      </c>
      <c r="AS330">
        <f t="shared" si="40"/>
        <v>0</v>
      </c>
      <c r="AT330"/>
      <c r="AU330"/>
      <c r="AV330"/>
      <c r="AW330"/>
      <c r="AX330"/>
      <c r="AY330"/>
      <c r="AZ330"/>
      <c r="BA330"/>
      <c r="BB330"/>
      <c r="BC330"/>
      <c r="BD330"/>
      <c r="BE330"/>
    </row>
    <row r="331" spans="2:57" ht="27" customHeight="1" x14ac:dyDescent="0.2">
      <c r="B331" s="332">
        <f t="shared" si="43"/>
        <v>18</v>
      </c>
      <c r="C331" s="381" t="s">
        <v>48</v>
      </c>
      <c r="D331" s="381" t="s">
        <v>44</v>
      </c>
      <c r="E331" s="374">
        <v>196</v>
      </c>
      <c r="F331" s="351">
        <v>1.5820000000000001</v>
      </c>
      <c r="G331" s="286">
        <v>195.5</v>
      </c>
      <c r="H331" s="286">
        <v>0.67500000000000004</v>
      </c>
      <c r="I331" s="287">
        <v>196.01</v>
      </c>
      <c r="J331" s="774">
        <v>0.77329999999999999</v>
      </c>
      <c r="K331" s="348"/>
      <c r="L331" s="349"/>
      <c r="M331" s="452">
        <v>0.1288</v>
      </c>
      <c r="AB331"/>
      <c r="AC331"/>
      <c r="AD331"/>
      <c r="AE331"/>
      <c r="AF331"/>
      <c r="AG331"/>
      <c r="AH331"/>
      <c r="AI331"/>
      <c r="AJ331"/>
      <c r="AK331"/>
      <c r="AL331"/>
      <c r="AM331"/>
      <c r="AN331"/>
      <c r="AO331"/>
      <c r="AP331" s="301"/>
      <c r="AQ331" s="313">
        <f t="shared" si="39"/>
        <v>253</v>
      </c>
      <c r="AR331">
        <f t="shared" si="44"/>
        <v>0</v>
      </c>
      <c r="AS331">
        <f t="shared" si="40"/>
        <v>0</v>
      </c>
      <c r="AT331"/>
      <c r="AU331"/>
      <c r="AV331"/>
      <c r="AW331"/>
      <c r="AX331"/>
      <c r="AY331"/>
      <c r="AZ331"/>
      <c r="BA331"/>
      <c r="BB331"/>
      <c r="BC331"/>
      <c r="BD331"/>
      <c r="BE331"/>
    </row>
    <row r="332" spans="2:57" ht="27" customHeight="1" x14ac:dyDescent="0.2">
      <c r="B332" s="332">
        <f t="shared" si="43"/>
        <v>19</v>
      </c>
      <c r="C332" s="381" t="s">
        <v>49</v>
      </c>
      <c r="D332" s="381" t="s">
        <v>44</v>
      </c>
      <c r="E332" s="374">
        <v>174</v>
      </c>
      <c r="F332" s="351">
        <v>0.47899999999999998</v>
      </c>
      <c r="G332" s="286">
        <v>170.57</v>
      </c>
      <c r="H332" s="286">
        <v>0.16300000000000001</v>
      </c>
      <c r="I332" s="287">
        <v>168.45</v>
      </c>
      <c r="J332" s="774">
        <v>5.7000000000000002E-2</v>
      </c>
      <c r="K332" s="348" t="s">
        <v>191</v>
      </c>
      <c r="L332" s="349"/>
      <c r="M332" s="452">
        <v>5.2999999999999999E-2</v>
      </c>
      <c r="AB332"/>
      <c r="AC332"/>
      <c r="AD332"/>
      <c r="AE332"/>
      <c r="AF332"/>
      <c r="AG332"/>
      <c r="AH332"/>
      <c r="AI332"/>
      <c r="AJ332"/>
      <c r="AK332"/>
      <c r="AL332"/>
      <c r="AM332"/>
      <c r="AN332"/>
      <c r="AO332"/>
      <c r="AP332" s="301"/>
      <c r="AQ332" s="313">
        <f t="shared" si="39"/>
        <v>254</v>
      </c>
      <c r="AR332">
        <f t="shared" si="44"/>
        <v>0</v>
      </c>
      <c r="AS332">
        <f t="shared" si="40"/>
        <v>0</v>
      </c>
      <c r="AT332"/>
      <c r="AU332"/>
      <c r="AV332"/>
      <c r="AW332"/>
      <c r="AX332"/>
      <c r="AY332"/>
      <c r="AZ332"/>
      <c r="BA332"/>
      <c r="BB332"/>
      <c r="BC332"/>
      <c r="BD332"/>
      <c r="BE332"/>
    </row>
    <row r="333" spans="2:57" ht="27" customHeight="1" x14ac:dyDescent="0.2">
      <c r="B333" s="330">
        <f t="shared" si="43"/>
        <v>20</v>
      </c>
      <c r="C333" s="331" t="s">
        <v>50</v>
      </c>
      <c r="D333" s="331" t="s">
        <v>44</v>
      </c>
      <c r="E333" s="352">
        <v>229.1</v>
      </c>
      <c r="F333" s="377">
        <v>0.79200000000000004</v>
      </c>
      <c r="G333" s="285">
        <v>226.6</v>
      </c>
      <c r="H333" s="285">
        <v>0.49199999999999999</v>
      </c>
      <c r="I333" s="412">
        <v>225.84</v>
      </c>
      <c r="J333" s="776">
        <v>0.42720000000000002</v>
      </c>
      <c r="K333" s="432"/>
      <c r="L333" s="349"/>
      <c r="M333" s="453">
        <v>9.5500000000000002E-2</v>
      </c>
      <c r="AB333"/>
      <c r="AC333"/>
      <c r="AD333"/>
      <c r="AE333"/>
      <c r="AF333"/>
      <c r="AG333"/>
      <c r="AH333"/>
      <c r="AI333"/>
      <c r="AJ333"/>
      <c r="AK333"/>
      <c r="AL333"/>
      <c r="AM333"/>
      <c r="AN333"/>
      <c r="AO333"/>
      <c r="AP333" s="301"/>
      <c r="AQ333" s="313">
        <f t="shared" si="39"/>
        <v>255</v>
      </c>
      <c r="AR333">
        <f t="shared" si="44"/>
        <v>0</v>
      </c>
      <c r="AS333">
        <f t="shared" si="40"/>
        <v>0</v>
      </c>
      <c r="AT333"/>
      <c r="AU333"/>
      <c r="AV333"/>
      <c r="AW333"/>
      <c r="AX333"/>
      <c r="AY333"/>
      <c r="AZ333"/>
      <c r="BA333"/>
      <c r="BB333"/>
      <c r="BC333"/>
      <c r="BD333"/>
      <c r="BE333"/>
    </row>
    <row r="334" spans="2:57" ht="27" customHeight="1" x14ac:dyDescent="0.2">
      <c r="B334" s="332">
        <f t="shared" si="43"/>
        <v>21</v>
      </c>
      <c r="C334" s="381" t="s">
        <v>51</v>
      </c>
      <c r="D334" s="381" t="s">
        <v>44</v>
      </c>
      <c r="E334" s="374">
        <v>249</v>
      </c>
      <c r="F334" s="351">
        <v>2.1240000000000001</v>
      </c>
      <c r="G334" s="286">
        <v>248.7</v>
      </c>
      <c r="H334" s="286">
        <v>1.708</v>
      </c>
      <c r="I334" s="287">
        <v>247.4</v>
      </c>
      <c r="J334" s="775">
        <v>1.351</v>
      </c>
      <c r="K334" s="348" t="s">
        <v>191</v>
      </c>
      <c r="L334" s="349"/>
      <c r="M334" s="453">
        <v>1.2521</v>
      </c>
      <c r="AB334"/>
      <c r="AC334"/>
      <c r="AD334"/>
      <c r="AE334"/>
      <c r="AF334"/>
      <c r="AG334"/>
      <c r="AH334"/>
      <c r="AI334"/>
      <c r="AJ334"/>
      <c r="AK334"/>
      <c r="AL334"/>
      <c r="AM334"/>
      <c r="AN334"/>
      <c r="AO334"/>
      <c r="AP334" s="301"/>
      <c r="AQ334" s="313">
        <f t="shared" si="39"/>
        <v>256</v>
      </c>
      <c r="AR334">
        <f t="shared" si="44"/>
        <v>0</v>
      </c>
      <c r="AS334">
        <f t="shared" si="40"/>
        <v>0</v>
      </c>
      <c r="AT334"/>
      <c r="AU334"/>
      <c r="AV334"/>
      <c r="AW334"/>
      <c r="AX334"/>
      <c r="AY334"/>
      <c r="AZ334"/>
      <c r="BA334"/>
      <c r="BB334"/>
      <c r="BC334"/>
      <c r="BD334"/>
      <c r="BE334"/>
    </row>
    <row r="335" spans="2:57" ht="27" customHeight="1" x14ac:dyDescent="0.2">
      <c r="B335" s="332">
        <f t="shared" si="43"/>
        <v>22</v>
      </c>
      <c r="C335" s="381" t="s">
        <v>52</v>
      </c>
      <c r="D335" s="381" t="s">
        <v>82</v>
      </c>
      <c r="E335" s="374">
        <v>164.75</v>
      </c>
      <c r="F335" s="374">
        <v>5</v>
      </c>
      <c r="G335" s="286">
        <v>140</v>
      </c>
      <c r="H335" s="286">
        <v>0</v>
      </c>
      <c r="I335" s="286">
        <v>140</v>
      </c>
      <c r="J335" s="775">
        <v>0</v>
      </c>
      <c r="K335" s="348" t="s">
        <v>191</v>
      </c>
      <c r="L335" s="349"/>
      <c r="M335" s="453">
        <v>0.2165</v>
      </c>
      <c r="AB335"/>
      <c r="AC335"/>
      <c r="AD335"/>
      <c r="AE335"/>
      <c r="AF335"/>
      <c r="AG335"/>
      <c r="AH335"/>
      <c r="AI335"/>
      <c r="AJ335"/>
      <c r="AK335"/>
      <c r="AL335"/>
      <c r="AM335"/>
      <c r="AN335"/>
      <c r="AO335"/>
      <c r="AP335" s="301"/>
      <c r="AQ335" s="313">
        <f t="shared" si="39"/>
        <v>257</v>
      </c>
      <c r="AR335">
        <f t="shared" si="44"/>
        <v>0</v>
      </c>
      <c r="AS335">
        <f t="shared" si="40"/>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204.56</v>
      </c>
      <c r="H336" s="287">
        <v>3.052</v>
      </c>
      <c r="I336" s="286">
        <v>204.52</v>
      </c>
      <c r="J336" s="774">
        <v>3.0276999999999998</v>
      </c>
      <c r="K336" s="348"/>
      <c r="L336" s="349"/>
      <c r="M336" s="452">
        <v>1.8879999999999999</v>
      </c>
      <c r="AB336"/>
      <c r="AC336"/>
      <c r="AD336"/>
      <c r="AE336"/>
      <c r="AF336"/>
      <c r="AG336"/>
      <c r="AH336"/>
      <c r="AI336"/>
      <c r="AJ336"/>
      <c r="AK336"/>
      <c r="AL336"/>
      <c r="AM336"/>
      <c r="AN336"/>
      <c r="AO336"/>
      <c r="AP336" s="301"/>
      <c r="AQ336" s="313">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332">
        <f t="shared" si="43"/>
        <v>24</v>
      </c>
      <c r="C337" s="381" t="s">
        <v>54</v>
      </c>
      <c r="D337" s="381" t="s">
        <v>83</v>
      </c>
      <c r="E337" s="374">
        <v>325.56</v>
      </c>
      <c r="F337" s="351">
        <v>0.70099999999999996</v>
      </c>
      <c r="G337" s="287">
        <v>325.5</v>
      </c>
      <c r="H337" s="287">
        <v>0.69599999999999995</v>
      </c>
      <c r="I337" s="287">
        <v>325.19</v>
      </c>
      <c r="J337" s="775">
        <v>0.66710000000000003</v>
      </c>
      <c r="K337" s="348" t="s">
        <v>191</v>
      </c>
      <c r="L337" s="349"/>
      <c r="M337" s="453">
        <v>0.29349999999999998</v>
      </c>
      <c r="AB337"/>
      <c r="AC337"/>
      <c r="AD337"/>
      <c r="AE337"/>
      <c r="AF337"/>
      <c r="AG337"/>
      <c r="AH337"/>
      <c r="AI337"/>
      <c r="AJ337"/>
      <c r="AK337"/>
      <c r="AL337"/>
      <c r="AM337"/>
      <c r="AN337"/>
      <c r="AO337"/>
      <c r="AP337" s="301"/>
      <c r="AQ337" s="313">
        <f t="shared" si="45"/>
        <v>259</v>
      </c>
      <c r="AR337">
        <f t="shared" si="44"/>
        <v>0</v>
      </c>
      <c r="AS337">
        <f t="shared" si="46"/>
        <v>0</v>
      </c>
      <c r="AT337"/>
      <c r="AU337"/>
      <c r="AV337"/>
      <c r="AW337"/>
      <c r="AX337"/>
      <c r="AY337"/>
      <c r="AZ337"/>
      <c r="BA337"/>
      <c r="BB337"/>
      <c r="BC337"/>
      <c r="BD337"/>
      <c r="BE337"/>
    </row>
    <row r="338" spans="2:57" ht="27" customHeight="1" x14ac:dyDescent="0.2">
      <c r="B338" s="332">
        <f t="shared" si="43"/>
        <v>25</v>
      </c>
      <c r="C338" s="381" t="s">
        <v>55</v>
      </c>
      <c r="D338" s="381" t="s">
        <v>83</v>
      </c>
      <c r="E338" s="374">
        <v>129.19999999999999</v>
      </c>
      <c r="F338" s="351">
        <v>0.5</v>
      </c>
      <c r="G338" s="286">
        <v>129.19999999999999</v>
      </c>
      <c r="H338" s="286">
        <v>0.71</v>
      </c>
      <c r="I338" s="287">
        <v>128.81</v>
      </c>
      <c r="J338" s="774">
        <v>0.65710000000000002</v>
      </c>
      <c r="K338" s="348" t="s">
        <v>191</v>
      </c>
      <c r="L338" s="349"/>
      <c r="M338" s="452">
        <v>0.15310000000000001</v>
      </c>
      <c r="AB338"/>
      <c r="AC338"/>
      <c r="AD338"/>
      <c r="AE338"/>
      <c r="AF338"/>
      <c r="AG338"/>
      <c r="AH338"/>
      <c r="AI338"/>
      <c r="AJ338"/>
      <c r="AK338"/>
      <c r="AL338"/>
      <c r="AM338"/>
      <c r="AN338"/>
      <c r="AO338"/>
      <c r="AP338" s="301"/>
      <c r="AQ338" s="313">
        <f t="shared" si="45"/>
        <v>260</v>
      </c>
      <c r="AR338">
        <f t="shared" si="44"/>
        <v>0</v>
      </c>
      <c r="AS338">
        <f t="shared" si="46"/>
        <v>0</v>
      </c>
      <c r="AT338"/>
      <c r="AU338"/>
      <c r="AV338"/>
      <c r="AW338"/>
      <c r="AX338"/>
      <c r="AY338"/>
      <c r="AZ338"/>
      <c r="BA338"/>
      <c r="BB338"/>
      <c r="BC338"/>
      <c r="BD338"/>
      <c r="BE338"/>
    </row>
    <row r="339" spans="2:57" ht="27" customHeight="1" x14ac:dyDescent="0.2">
      <c r="B339" s="332">
        <f t="shared" si="43"/>
        <v>26</v>
      </c>
      <c r="C339" s="381" t="s">
        <v>56</v>
      </c>
      <c r="D339" s="381" t="s">
        <v>83</v>
      </c>
      <c r="E339" s="374">
        <v>282.77999999999997</v>
      </c>
      <c r="F339" s="351">
        <v>0.51300000000000001</v>
      </c>
      <c r="G339" s="286">
        <v>282.95999999999998</v>
      </c>
      <c r="H339" s="286">
        <v>0.48</v>
      </c>
      <c r="I339" s="286">
        <v>283.08999999999997</v>
      </c>
      <c r="J339" s="774">
        <v>0.49</v>
      </c>
      <c r="K339" s="348" t="s">
        <v>191</v>
      </c>
      <c r="L339" s="349"/>
      <c r="M339" s="452">
        <v>0.39300000000000002</v>
      </c>
      <c r="AB339"/>
      <c r="AC339"/>
      <c r="AD339"/>
      <c r="AE339"/>
      <c r="AF339"/>
      <c r="AG339"/>
      <c r="AH339"/>
      <c r="AI339"/>
      <c r="AJ339"/>
      <c r="AK339"/>
      <c r="AL339"/>
      <c r="AM339"/>
      <c r="AN339"/>
      <c r="AO339"/>
      <c r="AP339" s="301"/>
      <c r="AQ339" s="313">
        <f t="shared" si="45"/>
        <v>261</v>
      </c>
      <c r="AR339">
        <f t="shared" si="44"/>
        <v>0</v>
      </c>
      <c r="AS339">
        <f t="shared" si="46"/>
        <v>0</v>
      </c>
      <c r="AT339"/>
      <c r="AU339"/>
      <c r="AV339"/>
      <c r="AW339"/>
      <c r="AX339"/>
      <c r="AY339"/>
      <c r="AZ339"/>
      <c r="BA339"/>
      <c r="BB339"/>
      <c r="BC339"/>
      <c r="BD339"/>
      <c r="BE339"/>
    </row>
    <row r="340" spans="2:57" ht="27" customHeight="1" x14ac:dyDescent="0.2">
      <c r="B340" s="332">
        <f t="shared" si="43"/>
        <v>27</v>
      </c>
      <c r="C340" s="381" t="s">
        <v>57</v>
      </c>
      <c r="D340" s="381" t="s">
        <v>83</v>
      </c>
      <c r="E340" s="374">
        <v>99</v>
      </c>
      <c r="F340" s="351">
        <v>2.6110000000000002</v>
      </c>
      <c r="G340" s="286">
        <v>98.85</v>
      </c>
      <c r="H340" s="286">
        <v>2.7770000000000001</v>
      </c>
      <c r="I340" s="286">
        <v>98.99</v>
      </c>
      <c r="J340" s="774">
        <v>2.8780999999999999</v>
      </c>
      <c r="K340" s="348" t="s">
        <v>191</v>
      </c>
      <c r="L340" s="349"/>
      <c r="M340" s="453">
        <v>0.60060000000000002</v>
      </c>
      <c r="AB340"/>
      <c r="AC340"/>
      <c r="AD340"/>
      <c r="AE340"/>
      <c r="AF340"/>
      <c r="AG340"/>
      <c r="AH340"/>
      <c r="AI340"/>
      <c r="AJ340"/>
      <c r="AK340"/>
      <c r="AL340"/>
      <c r="AM340"/>
      <c r="AN340"/>
      <c r="AO340"/>
      <c r="AP340" s="301"/>
      <c r="AQ340" s="313">
        <f t="shared" si="45"/>
        <v>262</v>
      </c>
      <c r="AR340">
        <f t="shared" si="44"/>
        <v>0</v>
      </c>
      <c r="AS340">
        <f t="shared" si="46"/>
        <v>0</v>
      </c>
      <c r="AT340"/>
      <c r="AU340"/>
      <c r="AV340"/>
      <c r="AW340"/>
      <c r="AX340"/>
      <c r="AY340"/>
      <c r="AZ340"/>
      <c r="BA340"/>
      <c r="BB340"/>
      <c r="BC340"/>
      <c r="BD340"/>
      <c r="BE340"/>
    </row>
    <row r="341" spans="2:57" ht="27" customHeight="1" x14ac:dyDescent="0.2">
      <c r="B341" s="332">
        <f t="shared" si="43"/>
        <v>28</v>
      </c>
      <c r="C341" s="381" t="s">
        <v>58</v>
      </c>
      <c r="D341" s="381" t="s">
        <v>83</v>
      </c>
      <c r="E341" s="374">
        <v>189.7</v>
      </c>
      <c r="F341" s="374">
        <v>7.9000000000000001E-2</v>
      </c>
      <c r="G341" s="286">
        <v>189.7</v>
      </c>
      <c r="H341" s="286">
        <v>0.08</v>
      </c>
      <c r="I341" s="287">
        <v>189.4</v>
      </c>
      <c r="J341" s="775">
        <v>7.3400000000000007E-2</v>
      </c>
      <c r="K341" s="348" t="s">
        <v>191</v>
      </c>
      <c r="L341" s="349"/>
      <c r="M341" s="453">
        <v>2.75E-2</v>
      </c>
      <c r="AB341"/>
      <c r="AC341"/>
      <c r="AD341"/>
      <c r="AE341"/>
      <c r="AF341"/>
      <c r="AG341"/>
      <c r="AH341"/>
      <c r="AI341"/>
      <c r="AJ341"/>
      <c r="AK341"/>
      <c r="AL341"/>
      <c r="AM341"/>
      <c r="AN341"/>
      <c r="AO341"/>
      <c r="AP341" s="301"/>
      <c r="AQ341" s="313">
        <f t="shared" si="45"/>
        <v>263</v>
      </c>
      <c r="AR341">
        <f t="shared" si="44"/>
        <v>0</v>
      </c>
      <c r="AS341">
        <f t="shared" si="46"/>
        <v>0</v>
      </c>
      <c r="AT341"/>
      <c r="AU341"/>
      <c r="AV341"/>
      <c r="AW341"/>
      <c r="AX341"/>
      <c r="AY341"/>
      <c r="AZ341"/>
      <c r="BA341"/>
      <c r="BB341"/>
      <c r="BC341"/>
      <c r="BD341"/>
      <c r="BE341"/>
    </row>
    <row r="342" spans="2:57" ht="27" customHeight="1" x14ac:dyDescent="0.2">
      <c r="B342" s="332">
        <f t="shared" si="43"/>
        <v>29</v>
      </c>
      <c r="C342" s="381" t="s">
        <v>59</v>
      </c>
      <c r="D342" s="381" t="s">
        <v>83</v>
      </c>
      <c r="E342" s="374">
        <v>171.19</v>
      </c>
      <c r="F342" s="351">
        <v>9.6879999999999994E-2</v>
      </c>
      <c r="G342" s="286">
        <v>171.2</v>
      </c>
      <c r="H342" s="333">
        <v>9.7000000000000003E-2</v>
      </c>
      <c r="I342" s="287">
        <v>171.3</v>
      </c>
      <c r="J342" s="775">
        <v>9.9500000000000005E-2</v>
      </c>
      <c r="K342" s="348" t="s">
        <v>191</v>
      </c>
      <c r="L342" s="349"/>
      <c r="M342" s="453">
        <v>5.8400000000000001E-2</v>
      </c>
      <c r="AB342"/>
      <c r="AC342"/>
      <c r="AD342"/>
      <c r="AE342"/>
      <c r="AF342"/>
      <c r="AG342"/>
      <c r="AH342"/>
      <c r="AI342"/>
      <c r="AJ342"/>
      <c r="AK342"/>
      <c r="AL342"/>
      <c r="AM342"/>
      <c r="AN342"/>
      <c r="AO342"/>
      <c r="AP342" s="301"/>
      <c r="AQ342" s="313">
        <f t="shared" si="45"/>
        <v>264</v>
      </c>
      <c r="AR342">
        <f t="shared" si="44"/>
        <v>0</v>
      </c>
      <c r="AS342">
        <f t="shared" si="46"/>
        <v>0</v>
      </c>
      <c r="AT342"/>
      <c r="AU342"/>
      <c r="AV342"/>
      <c r="AW342"/>
      <c r="AX342"/>
      <c r="AY342"/>
      <c r="AZ342"/>
      <c r="BA342"/>
      <c r="BB342"/>
      <c r="BC342"/>
      <c r="BD342"/>
      <c r="BE342"/>
    </row>
    <row r="343" spans="2:57" ht="27" customHeight="1" x14ac:dyDescent="0.2">
      <c r="B343" s="332">
        <f t="shared" si="43"/>
        <v>30</v>
      </c>
      <c r="C343" s="381" t="s">
        <v>60</v>
      </c>
      <c r="D343" s="381" t="s">
        <v>84</v>
      </c>
      <c r="E343" s="374">
        <v>142.6</v>
      </c>
      <c r="F343" s="351">
        <v>9.157</v>
      </c>
      <c r="G343" s="286">
        <v>140.30000000000001</v>
      </c>
      <c r="H343" s="286">
        <v>9.1560000000000006</v>
      </c>
      <c r="I343" s="286">
        <v>139.46</v>
      </c>
      <c r="J343" s="777">
        <v>6.8087999999999997</v>
      </c>
      <c r="K343" s="348"/>
      <c r="L343" s="349"/>
      <c r="M343" s="454">
        <v>4.1062000000000003</v>
      </c>
      <c r="AB343"/>
      <c r="AC343"/>
      <c r="AD343"/>
      <c r="AE343"/>
      <c r="AF343"/>
      <c r="AG343"/>
      <c r="AH343"/>
      <c r="AI343"/>
      <c r="AJ343"/>
      <c r="AK343"/>
      <c r="AL343"/>
      <c r="AM343"/>
      <c r="AN343"/>
      <c r="AO343"/>
      <c r="AP343" s="301"/>
      <c r="AQ343" s="313">
        <f t="shared" si="45"/>
        <v>265</v>
      </c>
      <c r="AR343">
        <f t="shared" si="44"/>
        <v>0</v>
      </c>
      <c r="AS343">
        <f t="shared" si="46"/>
        <v>0</v>
      </c>
      <c r="AT343"/>
      <c r="AU343"/>
      <c r="AV343"/>
      <c r="AW343"/>
      <c r="AX343"/>
      <c r="AY343"/>
      <c r="AZ343"/>
      <c r="BA343"/>
      <c r="BB343"/>
      <c r="BC343"/>
      <c r="BD343"/>
      <c r="BE343"/>
    </row>
    <row r="344" spans="2:57" ht="27" customHeight="1" x14ac:dyDescent="0.2">
      <c r="B344" s="332">
        <f t="shared" si="43"/>
        <v>31</v>
      </c>
      <c r="C344" s="381" t="s">
        <v>61</v>
      </c>
      <c r="D344" s="381" t="s">
        <v>84</v>
      </c>
      <c r="E344" s="374">
        <v>239.5</v>
      </c>
      <c r="F344" s="351">
        <v>2.6720000000000002</v>
      </c>
      <c r="G344" s="286">
        <v>239.7</v>
      </c>
      <c r="H344" s="333">
        <v>2.8559999999999999</v>
      </c>
      <c r="I344" s="286">
        <v>239.08</v>
      </c>
      <c r="J344" s="777">
        <v>2.4544000000000001</v>
      </c>
      <c r="K344" s="348" t="s">
        <v>191</v>
      </c>
      <c r="L344" s="349"/>
      <c r="M344" s="741">
        <v>1.5891999999999999</v>
      </c>
      <c r="AB344"/>
      <c r="AC344"/>
      <c r="AD344"/>
      <c r="AE344"/>
      <c r="AF344"/>
      <c r="AG344"/>
      <c r="AH344"/>
      <c r="AI344"/>
      <c r="AJ344"/>
      <c r="AK344"/>
      <c r="AL344"/>
      <c r="AM344"/>
      <c r="AN344"/>
      <c r="AO344"/>
      <c r="AP344" s="301"/>
      <c r="AQ344" s="313">
        <f t="shared" si="45"/>
        <v>266</v>
      </c>
      <c r="AR344">
        <f t="shared" si="44"/>
        <v>0</v>
      </c>
      <c r="AS344">
        <f t="shared" si="46"/>
        <v>0</v>
      </c>
      <c r="AT344"/>
      <c r="AU344"/>
      <c r="AV344"/>
      <c r="AW344"/>
      <c r="AX344"/>
      <c r="AY344"/>
      <c r="AZ344"/>
      <c r="BA344"/>
      <c r="BB344"/>
      <c r="BC344"/>
      <c r="BD344"/>
      <c r="BE344"/>
    </row>
    <row r="345" spans="2:57" ht="27" customHeight="1" x14ac:dyDescent="0.2">
      <c r="B345" s="332">
        <f t="shared" si="43"/>
        <v>32</v>
      </c>
      <c r="C345" s="381" t="s">
        <v>62</v>
      </c>
      <c r="D345" s="381" t="s">
        <v>85</v>
      </c>
      <c r="E345" s="374">
        <v>120.5</v>
      </c>
      <c r="F345" s="351">
        <v>3.677</v>
      </c>
      <c r="G345" s="286">
        <v>120.75</v>
      </c>
      <c r="H345" s="286">
        <v>4.1539999999999999</v>
      </c>
      <c r="I345" s="286">
        <v>120.64</v>
      </c>
      <c r="J345" s="774">
        <v>3.9443999999999999</v>
      </c>
      <c r="K345" s="348" t="s">
        <v>191</v>
      </c>
      <c r="L345" s="349"/>
      <c r="M345" s="452">
        <v>2.5137999999999998</v>
      </c>
      <c r="AB345"/>
      <c r="AC345"/>
      <c r="AD345"/>
      <c r="AE345"/>
      <c r="AF345"/>
      <c r="AG345"/>
      <c r="AH345"/>
      <c r="AI345"/>
      <c r="AJ345"/>
      <c r="AK345"/>
      <c r="AL345"/>
      <c r="AM345"/>
      <c r="AN345"/>
      <c r="AO345"/>
      <c r="AP345" s="301"/>
      <c r="AQ345" s="313">
        <f t="shared" si="45"/>
        <v>267</v>
      </c>
      <c r="AR345">
        <f t="shared" si="44"/>
        <v>0</v>
      </c>
      <c r="AS345">
        <f t="shared" si="46"/>
        <v>0</v>
      </c>
      <c r="AT345"/>
      <c r="AU345"/>
      <c r="AV345"/>
      <c r="AW345"/>
      <c r="AX345"/>
      <c r="AY345"/>
      <c r="AZ345"/>
      <c r="BA345"/>
      <c r="BB345"/>
      <c r="BC345"/>
      <c r="BD345"/>
      <c r="BE345"/>
    </row>
    <row r="346" spans="2:57" ht="27" customHeight="1" x14ac:dyDescent="0.2">
      <c r="B346" s="332">
        <f t="shared" si="43"/>
        <v>33</v>
      </c>
      <c r="C346" s="381" t="s">
        <v>63</v>
      </c>
      <c r="D346" s="381" t="s">
        <v>86</v>
      </c>
      <c r="E346" s="374">
        <v>110.56</v>
      </c>
      <c r="F346" s="351">
        <v>2.75</v>
      </c>
      <c r="G346" s="286">
        <v>110.36</v>
      </c>
      <c r="H346" s="286">
        <v>2.371</v>
      </c>
      <c r="I346" s="286">
        <v>110.55</v>
      </c>
      <c r="J346" s="774">
        <v>2.7309999999999999</v>
      </c>
      <c r="K346" s="348" t="s">
        <v>191</v>
      </c>
      <c r="L346" s="349"/>
      <c r="M346" s="452">
        <v>1.6681999999999999</v>
      </c>
      <c r="AB346"/>
      <c r="AC346"/>
      <c r="AD346"/>
      <c r="AE346"/>
      <c r="AF346"/>
      <c r="AG346"/>
      <c r="AH346"/>
      <c r="AI346"/>
      <c r="AJ346"/>
      <c r="AK346"/>
      <c r="AL346"/>
      <c r="AM346"/>
      <c r="AN346"/>
      <c r="AO346"/>
      <c r="AP346" s="301"/>
      <c r="AQ346" s="313">
        <f t="shared" si="45"/>
        <v>268</v>
      </c>
      <c r="AR346">
        <f t="shared" si="44"/>
        <v>0</v>
      </c>
      <c r="AS346">
        <f t="shared" si="46"/>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66.75</v>
      </c>
      <c r="H347" s="333">
        <v>24.373999999999999</v>
      </c>
      <c r="I347" s="286">
        <v>65.680000000000007</v>
      </c>
      <c r="J347" s="777">
        <v>22.372</v>
      </c>
      <c r="K347" s="348" t="s">
        <v>191</v>
      </c>
      <c r="L347" s="349"/>
      <c r="M347" s="454">
        <v>17.161999999999999</v>
      </c>
      <c r="AB347"/>
      <c r="AC347"/>
      <c r="AD347"/>
      <c r="AE347"/>
      <c r="AF347"/>
      <c r="AG347"/>
      <c r="AH347"/>
      <c r="AI347"/>
      <c r="AJ347"/>
      <c r="AK347"/>
      <c r="AL347"/>
      <c r="AM347"/>
      <c r="AN347"/>
      <c r="AO347"/>
      <c r="AP347" s="301"/>
      <c r="AQ347" s="313">
        <f t="shared" si="45"/>
        <v>269</v>
      </c>
      <c r="AR347">
        <f>IF(AK31="tad","tad",AK31)</f>
        <v>0</v>
      </c>
      <c r="AS347">
        <f t="shared" si="46"/>
        <v>0</v>
      </c>
      <c r="AT347"/>
      <c r="AU347"/>
      <c r="AV347"/>
      <c r="AW347"/>
      <c r="AX347"/>
      <c r="AY347"/>
      <c r="AZ347"/>
      <c r="BA347"/>
      <c r="BB347"/>
      <c r="BC347"/>
      <c r="BD347"/>
      <c r="BE347"/>
    </row>
    <row r="348" spans="2:57" ht="27" customHeight="1" x14ac:dyDescent="0.2">
      <c r="B348" s="332">
        <f t="shared" si="43"/>
        <v>35</v>
      </c>
      <c r="C348" s="381" t="s">
        <v>65</v>
      </c>
      <c r="D348" s="381" t="s">
        <v>87</v>
      </c>
      <c r="E348" s="374">
        <v>185</v>
      </c>
      <c r="F348" s="351">
        <v>388.72199999999998</v>
      </c>
      <c r="G348" s="286">
        <v>170.3</v>
      </c>
      <c r="H348" s="333">
        <v>246.3</v>
      </c>
      <c r="I348" s="286">
        <v>174.85</v>
      </c>
      <c r="J348" s="777">
        <v>288.65600000000001</v>
      </c>
      <c r="K348" s="348" t="s">
        <v>191</v>
      </c>
      <c r="L348" s="349"/>
      <c r="M348" s="742">
        <v>266.79300000000001</v>
      </c>
      <c r="AB348"/>
      <c r="AC348"/>
      <c r="AD348"/>
      <c r="AE348"/>
      <c r="AF348"/>
      <c r="AG348"/>
      <c r="AH348"/>
      <c r="AI348"/>
      <c r="AJ348"/>
      <c r="AK348"/>
      <c r="AL348"/>
      <c r="AM348"/>
      <c r="AN348"/>
      <c r="AO348"/>
      <c r="AP348" s="301"/>
      <c r="AQ348" s="313">
        <f t="shared" si="45"/>
        <v>270</v>
      </c>
      <c r="AR348">
        <f>IF(AK32="tad","tad",AK32)</f>
        <v>0</v>
      </c>
      <c r="AS348">
        <f t="shared" si="46"/>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v>
      </c>
      <c r="H349" s="333">
        <v>5.181</v>
      </c>
      <c r="I349" s="286">
        <v>230.15</v>
      </c>
      <c r="J349" s="778">
        <v>11.443</v>
      </c>
      <c r="K349" s="348" t="s">
        <v>191</v>
      </c>
      <c r="L349" s="527"/>
      <c r="M349" s="454">
        <v>228.73</v>
      </c>
      <c r="AB349"/>
      <c r="AC349"/>
      <c r="AD349"/>
      <c r="AE349"/>
      <c r="AF349"/>
      <c r="AG349"/>
      <c r="AH349"/>
      <c r="AI349"/>
      <c r="AJ349"/>
      <c r="AK349"/>
      <c r="AL349"/>
      <c r="AM349"/>
      <c r="AN349"/>
      <c r="AO349"/>
      <c r="AP349" s="301"/>
      <c r="AQ349" s="313">
        <f t="shared" si="45"/>
        <v>271</v>
      </c>
      <c r="AR349">
        <f>IF(AK33="tad","tad",AK33)</f>
        <v>0</v>
      </c>
      <c r="AS349">
        <f t="shared" si="46"/>
        <v>0</v>
      </c>
      <c r="AT349"/>
      <c r="AU349"/>
      <c r="AV349"/>
      <c r="AW349"/>
      <c r="AX349"/>
      <c r="AY349"/>
      <c r="AZ349"/>
      <c r="BA349"/>
      <c r="BB349"/>
      <c r="BC349"/>
      <c r="BD349"/>
      <c r="BE349"/>
    </row>
    <row r="350" spans="2:57" ht="27" customHeight="1" x14ac:dyDescent="0.2">
      <c r="B350" s="330">
        <v>39</v>
      </c>
      <c r="C350" s="331" t="s">
        <v>212</v>
      </c>
      <c r="D350" s="331" t="s">
        <v>76</v>
      </c>
      <c r="E350" s="352">
        <v>149.30000000000001</v>
      </c>
      <c r="F350" s="377">
        <v>17.670000000000002</v>
      </c>
      <c r="G350" s="352">
        <v>146.06</v>
      </c>
      <c r="H350" s="377">
        <v>8.5</v>
      </c>
      <c r="I350" s="352">
        <v>149.46</v>
      </c>
      <c r="J350" s="779">
        <v>11.08</v>
      </c>
      <c r="K350" s="440"/>
      <c r="L350" s="349"/>
      <c r="M350" s="455">
        <v>11.05</v>
      </c>
      <c r="AB350"/>
      <c r="AC350"/>
      <c r="AD350"/>
      <c r="AE350"/>
      <c r="AF350"/>
      <c r="AG350"/>
      <c r="AH350"/>
      <c r="AI350"/>
      <c r="AJ350"/>
      <c r="AK350"/>
      <c r="AL350"/>
      <c r="AM350"/>
      <c r="AN350"/>
      <c r="AO350"/>
      <c r="AP350" s="301"/>
      <c r="AQ350" s="313">
        <f t="shared" si="45"/>
        <v>272</v>
      </c>
      <c r="AR350">
        <f t="shared" si="44"/>
        <v>0</v>
      </c>
      <c r="AS350">
        <f t="shared" si="46"/>
        <v>0</v>
      </c>
      <c r="AT350"/>
      <c r="AU350"/>
      <c r="AV350"/>
      <c r="AW350"/>
      <c r="AX350"/>
      <c r="AY350"/>
      <c r="AZ350"/>
      <c r="BA350"/>
      <c r="BB350"/>
      <c r="BC350"/>
      <c r="BD350"/>
      <c r="BE350"/>
    </row>
    <row r="351" spans="2:57" ht="27" customHeight="1" x14ac:dyDescent="0.2">
      <c r="B351" s="332">
        <f>+B350+1</f>
        <v>40</v>
      </c>
      <c r="C351" s="381" t="s">
        <v>213</v>
      </c>
      <c r="D351" s="381" t="s">
        <v>80</v>
      </c>
      <c r="E351" s="374">
        <v>39</v>
      </c>
      <c r="F351" s="351">
        <v>0.47399999999999998</v>
      </c>
      <c r="G351" s="374"/>
      <c r="H351" s="351"/>
      <c r="I351" s="768">
        <v>38.869999999999997</v>
      </c>
      <c r="J351" s="780">
        <v>0.46300000000000002</v>
      </c>
      <c r="K351" s="440"/>
      <c r="L351" s="349"/>
      <c r="M351" s="452">
        <v>0.34300000000000003</v>
      </c>
      <c r="AB351"/>
      <c r="AC351"/>
      <c r="AD351"/>
      <c r="AE351"/>
      <c r="AF351"/>
      <c r="AG351"/>
      <c r="AH351"/>
      <c r="AI351"/>
      <c r="AJ351"/>
      <c r="AK351"/>
      <c r="AL351"/>
      <c r="AM351"/>
      <c r="AN351"/>
      <c r="AO351"/>
      <c r="AP351" s="301"/>
      <c r="AQ351" s="313">
        <f t="shared" si="45"/>
        <v>273</v>
      </c>
      <c r="AR351">
        <f t="shared" si="44"/>
        <v>0</v>
      </c>
      <c r="AS351">
        <f t="shared" si="46"/>
        <v>0</v>
      </c>
      <c r="AT351"/>
      <c r="AU351"/>
      <c r="AV351"/>
      <c r="AW351"/>
      <c r="AX351"/>
      <c r="AY351"/>
      <c r="AZ351"/>
      <c r="BA351"/>
      <c r="BB351"/>
      <c r="BC351"/>
      <c r="BD351"/>
      <c r="BE351"/>
    </row>
    <row r="352" spans="2:57" ht="27" customHeight="1" thickBot="1" x14ac:dyDescent="0.3">
      <c r="B352" s="334">
        <v>41</v>
      </c>
      <c r="C352" s="335" t="s">
        <v>214</v>
      </c>
      <c r="D352" s="335" t="s">
        <v>80</v>
      </c>
      <c r="E352" s="382">
        <v>70</v>
      </c>
      <c r="F352" s="353">
        <v>0.81699999999999995</v>
      </c>
      <c r="G352" s="382"/>
      <c r="H352" s="353"/>
      <c r="I352" s="725">
        <v>69.849999999999994</v>
      </c>
      <c r="J352" s="774">
        <v>0.71599999999999997</v>
      </c>
      <c r="K352" s="440"/>
      <c r="L352" s="524"/>
      <c r="M352" s="452">
        <v>0.192</v>
      </c>
      <c r="AB352"/>
      <c r="AC352"/>
      <c r="AD352"/>
      <c r="AE352"/>
      <c r="AF352"/>
      <c r="AG352"/>
      <c r="AH352"/>
      <c r="AI352"/>
      <c r="AJ352"/>
      <c r="AK352"/>
      <c r="AL352"/>
      <c r="AM352"/>
      <c r="AN352"/>
      <c r="AO352"/>
      <c r="AP352" s="301"/>
      <c r="AQ352" s="313">
        <f t="shared" si="45"/>
        <v>274</v>
      </c>
      <c r="AR352">
        <f t="shared" si="44"/>
        <v>0</v>
      </c>
      <c r="AS352">
        <f t="shared" si="46"/>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1047.3910000000001</v>
      </c>
      <c r="I353" s="355"/>
      <c r="J353" s="312">
        <f>SUM(J312:J352)</f>
        <v>1308.9907999999996</v>
      </c>
      <c r="K353" s="523"/>
      <c r="L353" s="349"/>
      <c r="M353" s="194"/>
      <c r="AB353"/>
      <c r="AC353"/>
      <c r="AD353"/>
      <c r="AE353"/>
      <c r="AF353"/>
      <c r="AG353"/>
      <c r="AH353"/>
      <c r="AI353"/>
      <c r="AJ353"/>
      <c r="AK353"/>
      <c r="AL353"/>
      <c r="AM353"/>
      <c r="AN353"/>
      <c r="AO353"/>
      <c r="AP353" s="301"/>
      <c r="AQ353" s="313">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1.2497632689224936</v>
      </c>
      <c r="K354" s="337"/>
      <c r="L354" s="349"/>
      <c r="M354" s="194"/>
      <c r="AB354"/>
      <c r="AC354"/>
      <c r="AD354"/>
      <c r="AE354"/>
      <c r="AF354"/>
      <c r="AG354"/>
      <c r="AH354"/>
      <c r="AI354"/>
      <c r="AJ354"/>
      <c r="AK354"/>
      <c r="AL354"/>
      <c r="AM354"/>
      <c r="AN354"/>
      <c r="AO354"/>
      <c r="AP354" s="301"/>
      <c r="AQ354" s="313">
        <f t="shared" si="45"/>
        <v>276</v>
      </c>
      <c r="AR354">
        <f t="shared" si="47"/>
        <v>0</v>
      </c>
      <c r="AS354">
        <f t="shared" si="46"/>
        <v>0</v>
      </c>
      <c r="AT354"/>
      <c r="AU354"/>
      <c r="AV354"/>
      <c r="AW354"/>
      <c r="AX354"/>
      <c r="AY354"/>
      <c r="AZ354"/>
      <c r="BA354"/>
      <c r="BB354"/>
      <c r="BC354"/>
      <c r="BD354"/>
      <c r="BE354"/>
    </row>
    <row r="355" spans="2:57" ht="27" customHeight="1" thickBot="1" x14ac:dyDescent="0.25">
      <c r="B355" s="338"/>
      <c r="C355" s="568" t="s">
        <v>216</v>
      </c>
      <c r="D355" s="339"/>
      <c r="E355" s="379">
        <v>1736.79</v>
      </c>
      <c r="F355" s="360">
        <v>1</v>
      </c>
      <c r="G355" s="361" t="s">
        <v>68</v>
      </c>
      <c r="H355" s="360">
        <f>+H353/F353*100%</f>
        <v>0.57743046349665439</v>
      </c>
      <c r="I355" s="362"/>
      <c r="J355" s="297">
        <f>+J353/F353</f>
        <v>0.72165138363500947</v>
      </c>
      <c r="K355" s="525"/>
      <c r="L355" s="349"/>
      <c r="M355" s="194"/>
      <c r="AB355"/>
      <c r="AC355"/>
      <c r="AD355"/>
      <c r="AE355"/>
      <c r="AF355"/>
      <c r="AG355"/>
      <c r="AH355"/>
      <c r="AI355"/>
      <c r="AJ355"/>
      <c r="AK355"/>
      <c r="AL355"/>
      <c r="AM355"/>
      <c r="AN355"/>
      <c r="AO355"/>
      <c r="AP355" s="301"/>
      <c r="AQ355" s="313">
        <f t="shared" si="45"/>
        <v>277</v>
      </c>
      <c r="AR355">
        <f t="shared" si="47"/>
        <v>0</v>
      </c>
      <c r="AS355">
        <f t="shared" si="46"/>
        <v>0</v>
      </c>
      <c r="AT355"/>
      <c r="AU355"/>
      <c r="AV355"/>
      <c r="AW355"/>
      <c r="AX355"/>
      <c r="AY355"/>
      <c r="AZ355"/>
      <c r="BA355"/>
      <c r="BB355"/>
      <c r="BC355"/>
      <c r="BD355"/>
      <c r="BE355"/>
    </row>
    <row r="356" spans="2:57" ht="27" customHeight="1" thickBot="1" x14ac:dyDescent="0.25">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5"/>
        <v>278</v>
      </c>
      <c r="AR356">
        <f t="shared" si="47"/>
        <v>0</v>
      </c>
      <c r="AS356">
        <f t="shared" si="46"/>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5"/>
        <v>279</v>
      </c>
      <c r="AR357">
        <f t="shared" si="47"/>
        <v>0</v>
      </c>
      <c r="AS357">
        <f t="shared" si="46"/>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5"/>
        <v>280</v>
      </c>
      <c r="AR358">
        <f t="shared" si="47"/>
        <v>0</v>
      </c>
      <c r="AS358">
        <f t="shared" si="46"/>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5"/>
        <v>281</v>
      </c>
      <c r="AR359">
        <f t="shared" si="47"/>
        <v>0</v>
      </c>
      <c r="AS359">
        <f t="shared" si="46"/>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5"/>
        <v>282</v>
      </c>
      <c r="AR360">
        <f t="shared" si="47"/>
        <v>0</v>
      </c>
      <c r="AS360">
        <f t="shared" si="46"/>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5"/>
        <v>283</v>
      </c>
      <c r="AR361">
        <f t="shared" si="47"/>
        <v>0</v>
      </c>
      <c r="AS361">
        <f t="shared" si="46"/>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5"/>
        <v>284</v>
      </c>
      <c r="AR362">
        <f t="shared" si="47"/>
        <v>0</v>
      </c>
      <c r="AS362">
        <f t="shared" si="46"/>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5"/>
        <v>285</v>
      </c>
      <c r="AR363">
        <f t="shared" si="47"/>
        <v>0</v>
      </c>
      <c r="AS363">
        <f t="shared" si="46"/>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5"/>
        <v>286</v>
      </c>
      <c r="AR364">
        <f t="shared" si="47"/>
        <v>0</v>
      </c>
      <c r="AS364">
        <f t="shared" si="46"/>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5"/>
        <v>287</v>
      </c>
      <c r="AR365">
        <f t="shared" si="47"/>
        <v>0</v>
      </c>
      <c r="AS365">
        <f t="shared" si="46"/>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5"/>
        <v>288</v>
      </c>
      <c r="AR366">
        <f t="shared" si="47"/>
        <v>0</v>
      </c>
      <c r="AS366">
        <f t="shared" si="46"/>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5"/>
        <v>289</v>
      </c>
      <c r="AR367">
        <f t="shared" si="47"/>
        <v>0</v>
      </c>
      <c r="AS367">
        <f t="shared" si="46"/>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5"/>
        <v>290</v>
      </c>
      <c r="AR368">
        <f t="shared" si="47"/>
        <v>0</v>
      </c>
      <c r="AS368">
        <f t="shared" si="46"/>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5"/>
        <v>291</v>
      </c>
      <c r="AR369">
        <f t="shared" si="47"/>
        <v>0</v>
      </c>
      <c r="AS369">
        <f t="shared" si="46"/>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5"/>
        <v>292</v>
      </c>
      <c r="AR370">
        <f t="shared" si="47"/>
        <v>0</v>
      </c>
      <c r="AS370">
        <f t="shared" si="46"/>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5"/>
        <v>293</v>
      </c>
      <c r="AR371">
        <f t="shared" si="47"/>
        <v>0</v>
      </c>
      <c r="AS371">
        <f t="shared" si="46"/>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5"/>
        <v>294</v>
      </c>
      <c r="AR372">
        <f t="shared" si="47"/>
        <v>0</v>
      </c>
      <c r="AS372">
        <f t="shared" si="46"/>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5"/>
        <v>295</v>
      </c>
      <c r="AR373">
        <f t="shared" si="47"/>
        <v>0</v>
      </c>
      <c r="AS373">
        <f t="shared" si="46"/>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5"/>
        <v>296</v>
      </c>
      <c r="AR374">
        <f t="shared" si="47"/>
        <v>0</v>
      </c>
      <c r="AS374">
        <f t="shared" si="46"/>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5"/>
        <v>297</v>
      </c>
      <c r="AR375">
        <f t="shared" si="47"/>
        <v>0</v>
      </c>
      <c r="AS375">
        <f t="shared" si="46"/>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5"/>
        <v>298</v>
      </c>
      <c r="AR376">
        <f t="shared" si="47"/>
        <v>0</v>
      </c>
      <c r="AS376">
        <f t="shared" si="46"/>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5"/>
        <v>299</v>
      </c>
      <c r="AR377">
        <f t="shared" si="47"/>
        <v>0</v>
      </c>
      <c r="AS377">
        <f t="shared" si="46"/>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5"/>
        <v>300</v>
      </c>
      <c r="AR378">
        <f t="shared" si="47"/>
        <v>0</v>
      </c>
      <c r="AS378">
        <f t="shared" si="46"/>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5"/>
        <v>301</v>
      </c>
      <c r="AR379">
        <f t="shared" si="47"/>
        <v>0</v>
      </c>
      <c r="AS379">
        <f t="shared" si="46"/>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5"/>
        <v>302</v>
      </c>
      <c r="AR380">
        <f t="shared" si="47"/>
        <v>0</v>
      </c>
      <c r="AS380">
        <f t="shared" si="46"/>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5"/>
        <v>303</v>
      </c>
      <c r="AR381">
        <f t="shared" si="47"/>
        <v>0</v>
      </c>
      <c r="AS381">
        <f t="shared" si="46"/>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5"/>
        <v>304</v>
      </c>
      <c r="AR382">
        <f t="shared" si="47"/>
        <v>0</v>
      </c>
      <c r="AS382">
        <f t="shared" si="46"/>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5"/>
        <v>305</v>
      </c>
      <c r="AR383">
        <f t="shared" si="47"/>
        <v>0</v>
      </c>
      <c r="AS383">
        <f t="shared" si="46"/>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5"/>
        <v>307</v>
      </c>
      <c r="AR385">
        <f t="shared" si="48"/>
        <v>0</v>
      </c>
      <c r="AS385">
        <f t="shared" si="46"/>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5"/>
        <v>308</v>
      </c>
      <c r="AR386">
        <f t="shared" si="48"/>
        <v>0</v>
      </c>
      <c r="AS386">
        <f t="shared" si="46"/>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5"/>
        <v>309</v>
      </c>
      <c r="AR387">
        <f t="shared" si="48"/>
        <v>0</v>
      </c>
      <c r="AS387">
        <f t="shared" si="46"/>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5"/>
        <v>310</v>
      </c>
      <c r="AR388">
        <f t="shared" si="48"/>
        <v>0</v>
      </c>
      <c r="AS388">
        <f t="shared" si="46"/>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5"/>
        <v>311</v>
      </c>
      <c r="AR389">
        <f t="shared" si="48"/>
        <v>0</v>
      </c>
      <c r="AS389">
        <f t="shared" si="46"/>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5"/>
        <v>312</v>
      </c>
      <c r="AR390">
        <f t="shared" si="48"/>
        <v>0</v>
      </c>
      <c r="AS390">
        <f t="shared" si="46"/>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5"/>
        <v>313</v>
      </c>
      <c r="AR391">
        <f t="shared" si="48"/>
        <v>0</v>
      </c>
      <c r="AS391">
        <f t="shared" si="46"/>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5"/>
        <v>314</v>
      </c>
      <c r="AR392">
        <f t="shared" si="48"/>
        <v>0</v>
      </c>
      <c r="AS392">
        <f t="shared" si="46"/>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5"/>
        <v>315</v>
      </c>
      <c r="AR393">
        <f t="shared" si="48"/>
        <v>0</v>
      </c>
      <c r="AS393">
        <f t="shared" si="46"/>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5"/>
        <v>316</v>
      </c>
      <c r="AR394">
        <f t="shared" si="48"/>
        <v>0</v>
      </c>
      <c r="AS394">
        <f t="shared" si="46"/>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5"/>
        <v>317</v>
      </c>
      <c r="AR395">
        <f t="shared" si="48"/>
        <v>0</v>
      </c>
      <c r="AS395">
        <f t="shared" si="46"/>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5"/>
        <v>318</v>
      </c>
      <c r="AR396">
        <f t="shared" si="48"/>
        <v>0</v>
      </c>
      <c r="AS396">
        <f t="shared" si="46"/>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5"/>
        <v>319</v>
      </c>
      <c r="AR397">
        <f t="shared" si="48"/>
        <v>0</v>
      </c>
      <c r="AS397">
        <f t="shared" si="46"/>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5"/>
        <v>320</v>
      </c>
      <c r="AR398">
        <f t="shared" si="48"/>
        <v>0</v>
      </c>
      <c r="AS398">
        <f t="shared" si="46"/>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5"/>
        <v>321</v>
      </c>
      <c r="AR399">
        <f t="shared" si="48"/>
        <v>0</v>
      </c>
      <c r="AS399">
        <f t="shared" si="46"/>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49"/>
        <v>323</v>
      </c>
      <c r="AR401">
        <f t="shared" si="48"/>
        <v>0</v>
      </c>
      <c r="AS401">
        <f t="shared" si="50"/>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49"/>
        <v>324</v>
      </c>
      <c r="AR402">
        <f t="shared" si="48"/>
        <v>0</v>
      </c>
      <c r="AS402">
        <f t="shared" si="50"/>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49"/>
        <v>325</v>
      </c>
      <c r="AR403">
        <f t="shared" si="48"/>
        <v>0</v>
      </c>
      <c r="AS403">
        <f t="shared" si="50"/>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49"/>
        <v>326</v>
      </c>
      <c r="AR404">
        <f t="shared" si="48"/>
        <v>0</v>
      </c>
      <c r="AS404">
        <f t="shared" si="50"/>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49"/>
        <v>327</v>
      </c>
      <c r="AR405">
        <f t="shared" si="48"/>
        <v>0</v>
      </c>
      <c r="AS405">
        <f t="shared" si="50"/>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49"/>
        <v>328</v>
      </c>
      <c r="AR406">
        <f t="shared" si="48"/>
        <v>0</v>
      </c>
      <c r="AS406">
        <f t="shared" si="50"/>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49"/>
        <v>329</v>
      </c>
      <c r="AR407">
        <f t="shared" si="48"/>
        <v>0</v>
      </c>
      <c r="AS407">
        <f t="shared" si="50"/>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49"/>
        <v>330</v>
      </c>
      <c r="AR408">
        <f t="shared" si="48"/>
        <v>0</v>
      </c>
      <c r="AS408">
        <f t="shared" si="50"/>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49"/>
        <v>331</v>
      </c>
      <c r="AR409">
        <f t="shared" si="48"/>
        <v>0</v>
      </c>
      <c r="AS409">
        <f t="shared" si="50"/>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49"/>
        <v>332</v>
      </c>
      <c r="AR410">
        <f t="shared" si="48"/>
        <v>0</v>
      </c>
      <c r="AS410">
        <f t="shared" si="50"/>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49"/>
        <v>333</v>
      </c>
      <c r="AR411">
        <f t="shared" si="48"/>
        <v>0</v>
      </c>
      <c r="AS411">
        <f t="shared" si="50"/>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49"/>
        <v>334</v>
      </c>
      <c r="AR412">
        <f t="shared" si="48"/>
        <v>0</v>
      </c>
      <c r="AS412">
        <f t="shared" si="50"/>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49"/>
        <v>335</v>
      </c>
      <c r="AR413">
        <f t="shared" si="48"/>
        <v>0</v>
      </c>
      <c r="AS413">
        <f t="shared" si="50"/>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49"/>
        <v>337</v>
      </c>
      <c r="AR415">
        <f t="shared" si="51"/>
        <v>0</v>
      </c>
      <c r="AS415">
        <f t="shared" si="50"/>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49"/>
        <v>338</v>
      </c>
      <c r="AR416">
        <f t="shared" si="51"/>
        <v>0</v>
      </c>
      <c r="AS416">
        <f t="shared" si="50"/>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49"/>
        <v>339</v>
      </c>
      <c r="AR417">
        <f t="shared" si="51"/>
        <v>0</v>
      </c>
      <c r="AS417">
        <f t="shared" si="50"/>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49"/>
        <v>340</v>
      </c>
      <c r="AR418">
        <f t="shared" si="51"/>
        <v>0</v>
      </c>
      <c r="AS418">
        <f t="shared" si="50"/>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49"/>
        <v>341</v>
      </c>
      <c r="AR419">
        <f t="shared" si="51"/>
        <v>0</v>
      </c>
      <c r="AS419">
        <f t="shared" si="50"/>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49"/>
        <v>342</v>
      </c>
      <c r="AR420">
        <f t="shared" si="51"/>
        <v>0</v>
      </c>
      <c r="AS420">
        <f t="shared" si="50"/>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49"/>
        <v>343</v>
      </c>
      <c r="AR421">
        <f t="shared" si="51"/>
        <v>0</v>
      </c>
      <c r="AS421">
        <f t="shared" si="50"/>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49"/>
        <v>344</v>
      </c>
      <c r="AR422">
        <f t="shared" si="51"/>
        <v>0</v>
      </c>
      <c r="AS422">
        <f t="shared" si="50"/>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49"/>
        <v>345</v>
      </c>
      <c r="AR423">
        <f t="shared" si="51"/>
        <v>0</v>
      </c>
      <c r="AS423">
        <f t="shared" si="50"/>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49"/>
        <v>346</v>
      </c>
      <c r="AR424">
        <f t="shared" si="51"/>
        <v>0</v>
      </c>
      <c r="AS424">
        <f t="shared" si="50"/>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49"/>
        <v>347</v>
      </c>
      <c r="AR425">
        <f t="shared" si="51"/>
        <v>0</v>
      </c>
      <c r="AS425">
        <f t="shared" si="50"/>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49"/>
        <v>348</v>
      </c>
      <c r="AR426">
        <f t="shared" si="51"/>
        <v>0</v>
      </c>
      <c r="AS426">
        <f t="shared" si="50"/>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49"/>
        <v>349</v>
      </c>
      <c r="AR427">
        <f t="shared" si="51"/>
        <v>0</v>
      </c>
      <c r="AS427">
        <f t="shared" si="50"/>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49"/>
        <v>350</v>
      </c>
      <c r="AR428">
        <f t="shared" si="51"/>
        <v>0</v>
      </c>
      <c r="AS428">
        <f t="shared" si="50"/>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49"/>
        <v>351</v>
      </c>
      <c r="AR429">
        <f t="shared" si="51"/>
        <v>0</v>
      </c>
      <c r="AS429">
        <f t="shared" si="50"/>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49"/>
        <v>352</v>
      </c>
      <c r="AR430">
        <f t="shared" si="51"/>
        <v>0</v>
      </c>
      <c r="AS430">
        <f t="shared" si="50"/>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49"/>
        <v>353</v>
      </c>
      <c r="AR431">
        <f t="shared" si="51"/>
        <v>0</v>
      </c>
      <c r="AS431">
        <f t="shared" si="50"/>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49"/>
        <v>354</v>
      </c>
      <c r="AR432">
        <f t="shared" si="51"/>
        <v>0</v>
      </c>
      <c r="AS432">
        <f t="shared" si="50"/>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49"/>
        <v>355</v>
      </c>
      <c r="AR433">
        <f t="shared" si="51"/>
        <v>0</v>
      </c>
      <c r="AS433">
        <f t="shared" si="50"/>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49"/>
        <v>356</v>
      </c>
      <c r="AR434">
        <f t="shared" si="51"/>
        <v>0</v>
      </c>
      <c r="AS434">
        <f t="shared" si="50"/>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49"/>
        <v>357</v>
      </c>
      <c r="AR435">
        <f t="shared" si="51"/>
        <v>0</v>
      </c>
      <c r="AS435">
        <f t="shared" si="50"/>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49"/>
        <v>358</v>
      </c>
      <c r="AR436">
        <f t="shared" si="51"/>
        <v>0</v>
      </c>
      <c r="AS436">
        <f t="shared" si="50"/>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49"/>
        <v>359</v>
      </c>
      <c r="AR437">
        <f t="shared" si="51"/>
        <v>0</v>
      </c>
      <c r="AS437">
        <f t="shared" si="50"/>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49"/>
        <v>360</v>
      </c>
      <c r="AR438">
        <f t="shared" si="51"/>
        <v>0</v>
      </c>
      <c r="AS438">
        <f t="shared" si="50"/>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49"/>
        <v>361</v>
      </c>
      <c r="AR439">
        <f t="shared" si="51"/>
        <v>0</v>
      </c>
      <c r="AS439">
        <f t="shared" si="50"/>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49"/>
        <v>362</v>
      </c>
      <c r="AR440">
        <f t="shared" si="51"/>
        <v>0</v>
      </c>
      <c r="AS440">
        <f t="shared" si="50"/>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49"/>
        <v>363</v>
      </c>
      <c r="AR441">
        <f t="shared" si="51"/>
        <v>0</v>
      </c>
      <c r="AS441">
        <f t="shared" si="50"/>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49"/>
        <v>364</v>
      </c>
      <c r="AR442">
        <f t="shared" si="51"/>
        <v>0</v>
      </c>
      <c r="AS442">
        <f t="shared" si="50"/>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49"/>
        <v>365</v>
      </c>
      <c r="AR443">
        <f t="shared" si="51"/>
        <v>0</v>
      </c>
      <c r="AS443">
        <f t="shared" si="50"/>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1"/>
        <v>0</v>
      </c>
      <c r="AS444">
        <f t="shared" si="50"/>
        <v>-2.65476</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6"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120" zoomScaleNormal="120" workbookViewId="0">
      <selection activeCell="F16" sqref="F1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9" t="s">
        <v>156</v>
      </c>
      <c r="C2" s="929"/>
      <c r="D2" s="929"/>
      <c r="E2" s="929"/>
      <c r="F2" s="929"/>
      <c r="G2" s="929"/>
      <c r="H2" s="929"/>
      <c r="I2" s="929"/>
      <c r="J2" s="929"/>
      <c r="K2" s="174"/>
    </row>
    <row r="3" spans="2:12" x14ac:dyDescent="0.2">
      <c r="B3" s="929" t="s">
        <v>253</v>
      </c>
      <c r="C3" s="929"/>
      <c r="D3" s="929"/>
      <c r="E3" s="929"/>
      <c r="F3" s="929"/>
      <c r="G3" s="929"/>
      <c r="H3" s="929"/>
      <c r="I3" s="929"/>
      <c r="J3" s="929"/>
      <c r="K3" s="174"/>
    </row>
    <row r="4" spans="2:12" x14ac:dyDescent="0.2">
      <c r="B4" s="930" t="str">
        <f>+UTAMA!B4</f>
        <v xml:space="preserve">MINGGU KE IV FEBRUARI ( 22 FEBRUARI S/D 28 FEBRUARI 2022 ) dalam Juta m3  </v>
      </c>
      <c r="C4" s="930"/>
      <c r="D4" s="930"/>
      <c r="E4" s="930"/>
      <c r="F4" s="930"/>
      <c r="G4" s="930"/>
      <c r="H4" s="930"/>
      <c r="I4" s="930"/>
      <c r="J4" s="930"/>
      <c r="K4" s="175"/>
    </row>
    <row r="5" spans="2:12" ht="13.5" thickBot="1" x14ac:dyDescent="0.25">
      <c r="B5" s="173"/>
      <c r="C5" s="173"/>
      <c r="D5" s="173"/>
      <c r="E5" s="173"/>
      <c r="F5" s="173"/>
      <c r="G5" s="173"/>
      <c r="H5" s="173"/>
      <c r="I5" s="173"/>
      <c r="J5" s="173"/>
      <c r="K5" s="173"/>
    </row>
    <row r="6" spans="2:12" ht="14.25" x14ac:dyDescent="0.2">
      <c r="B6" s="935" t="s">
        <v>18</v>
      </c>
      <c r="C6" s="933" t="s">
        <v>272</v>
      </c>
      <c r="D6" s="931" t="s">
        <v>92</v>
      </c>
      <c r="E6" s="213" t="s">
        <v>25</v>
      </c>
      <c r="F6" s="939" t="s">
        <v>93</v>
      </c>
      <c r="G6" s="940"/>
      <c r="H6" s="937" t="s">
        <v>157</v>
      </c>
      <c r="I6" s="938"/>
      <c r="J6" s="627" t="s">
        <v>69</v>
      </c>
      <c r="K6" s="211" t="s">
        <v>125</v>
      </c>
    </row>
    <row r="7" spans="2:12" x14ac:dyDescent="0.2">
      <c r="B7" s="936"/>
      <c r="C7" s="934"/>
      <c r="D7" s="932"/>
      <c r="E7" s="214" t="s">
        <v>151</v>
      </c>
      <c r="F7" s="628" t="s">
        <v>94</v>
      </c>
      <c r="G7" s="628" t="s">
        <v>22</v>
      </c>
      <c r="H7" s="629" t="s">
        <v>94</v>
      </c>
      <c r="I7" s="629" t="s">
        <v>22</v>
      </c>
      <c r="J7" s="630" t="s">
        <v>22</v>
      </c>
      <c r="K7" s="212" t="s">
        <v>126</v>
      </c>
    </row>
    <row r="8" spans="2:12" x14ac:dyDescent="0.2">
      <c r="B8" s="631">
        <v>1</v>
      </c>
      <c r="C8" s="632">
        <v>2</v>
      </c>
      <c r="D8" s="632">
        <v>3</v>
      </c>
      <c r="E8" s="632">
        <v>4</v>
      </c>
      <c r="F8" s="632">
        <v>5</v>
      </c>
      <c r="G8" s="632">
        <v>6</v>
      </c>
      <c r="H8" s="632">
        <v>7</v>
      </c>
      <c r="I8" s="632">
        <v>8</v>
      </c>
      <c r="J8" s="632">
        <v>9</v>
      </c>
      <c r="K8" s="180">
        <v>10</v>
      </c>
    </row>
    <row r="9" spans="2:12" ht="15" customHeight="1" x14ac:dyDescent="0.2">
      <c r="B9" s="631">
        <v>1</v>
      </c>
      <c r="C9" s="633" t="s">
        <v>28</v>
      </c>
      <c r="D9" s="634">
        <v>35162</v>
      </c>
      <c r="E9" s="635">
        <f>UTAMA!F11</f>
        <v>31.144597999999998</v>
      </c>
      <c r="F9" s="636">
        <f>+UTAMA!G11</f>
        <v>55.73</v>
      </c>
      <c r="G9" s="740">
        <f>+UTAMA!I11</f>
        <v>55.38</v>
      </c>
      <c r="H9" s="637">
        <f>+UTAMA!H11</f>
        <v>30.887121</v>
      </c>
      <c r="I9" s="637">
        <f>+UTAMA!J11</f>
        <v>28.911000000000001</v>
      </c>
      <c r="J9" s="181">
        <f>IFERROR(+I9/H9*100%*100,0)</f>
        <v>93.602119796144166</v>
      </c>
      <c r="K9" s="182"/>
    </row>
    <row r="10" spans="2:12" ht="15" customHeight="1" x14ac:dyDescent="0.2">
      <c r="B10" s="631">
        <f t="shared" ref="B10:B16" si="0">+B9+1</f>
        <v>2</v>
      </c>
      <c r="C10" s="633" t="s">
        <v>30</v>
      </c>
      <c r="D10" s="634">
        <v>17481</v>
      </c>
      <c r="E10" s="635">
        <f>UTAMA!F13</f>
        <v>45.13</v>
      </c>
      <c r="F10" s="638">
        <f>+UTAMA!G13</f>
        <v>74.11</v>
      </c>
      <c r="G10" s="639">
        <f>+UTAMA!I13</f>
        <v>77.67</v>
      </c>
      <c r="H10" s="640">
        <f>+UTAMA!H13</f>
        <v>29.640999999999998</v>
      </c>
      <c r="I10" s="641">
        <f>+UTAMA!J13</f>
        <v>50.14</v>
      </c>
      <c r="J10" s="181">
        <f>IFERROR(+I10/H10*100%*100,0)</f>
        <v>169.15758577645829</v>
      </c>
      <c r="K10" s="182"/>
    </row>
    <row r="11" spans="2:12" ht="15" customHeight="1" x14ac:dyDescent="0.2">
      <c r="B11" s="631">
        <f t="shared" si="0"/>
        <v>3</v>
      </c>
      <c r="C11" s="633" t="s">
        <v>31</v>
      </c>
      <c r="D11" s="634">
        <v>19972</v>
      </c>
      <c r="E11" s="635">
        <f>UTAMA!F14</f>
        <v>49.9</v>
      </c>
      <c r="F11" s="638">
        <f>+UTAMA!G14</f>
        <v>462.39</v>
      </c>
      <c r="G11" s="639">
        <f>+UTAMA!I14</f>
        <v>462.5</v>
      </c>
      <c r="H11" s="640">
        <f>+UTAMA!H14</f>
        <v>35.720999999999997</v>
      </c>
      <c r="I11" s="641">
        <f>+UTAMA!J14</f>
        <v>37.793999999999997</v>
      </c>
      <c r="J11" s="181">
        <f t="shared" ref="J11:J17" si="1">IFERROR(+I11/H11*100%*100,0)</f>
        <v>105.80330897791215</v>
      </c>
      <c r="K11" s="182"/>
      <c r="L11" s="442"/>
    </row>
    <row r="12" spans="2:12" ht="15" customHeight="1" x14ac:dyDescent="0.2">
      <c r="B12" s="631">
        <f t="shared" si="0"/>
        <v>4</v>
      </c>
      <c r="C12" s="633" t="s">
        <v>34</v>
      </c>
      <c r="D12" s="634">
        <v>59544</v>
      </c>
      <c r="E12" s="635">
        <v>689.09</v>
      </c>
      <c r="F12" s="638">
        <f>+UTAMA!G17</f>
        <v>85.14</v>
      </c>
      <c r="G12" s="635">
        <f>+UTAMA!I17</f>
        <v>88.6</v>
      </c>
      <c r="H12" s="640">
        <f>+UTAMA!H17</f>
        <v>466.26100000000002</v>
      </c>
      <c r="I12" s="640">
        <f>UTAMA!J17</f>
        <v>615.56799999999998</v>
      </c>
      <c r="J12" s="181">
        <f>IFERROR(+I12/H12*100%*100,0)</f>
        <v>132.02219357827482</v>
      </c>
      <c r="K12" s="183"/>
    </row>
    <row r="13" spans="2:12" ht="15" customHeight="1" x14ac:dyDescent="0.2">
      <c r="B13" s="631">
        <f t="shared" si="0"/>
        <v>5</v>
      </c>
      <c r="C13" s="633" t="s">
        <v>44</v>
      </c>
      <c r="D13" s="634">
        <v>28109</v>
      </c>
      <c r="E13" s="739">
        <f>UTAMA!F26</f>
        <v>398.69</v>
      </c>
      <c r="F13" s="638">
        <f>+UTAMA!G26</f>
        <v>132.91999999999999</v>
      </c>
      <c r="G13" s="639">
        <f>+UTAMA!I26</f>
        <v>132.63999999999999</v>
      </c>
      <c r="H13" s="637">
        <f>+UTAMA!H26</f>
        <v>211.166</v>
      </c>
      <c r="I13" s="637">
        <f>+UTAMA!J26</f>
        <v>204.35</v>
      </c>
      <c r="J13" s="181">
        <f t="shared" si="1"/>
        <v>96.772207647064391</v>
      </c>
      <c r="K13" s="183"/>
    </row>
    <row r="14" spans="2:12" ht="15" customHeight="1" x14ac:dyDescent="0.2">
      <c r="B14" s="631">
        <f t="shared" si="0"/>
        <v>6</v>
      </c>
      <c r="C14" s="633" t="s">
        <v>64</v>
      </c>
      <c r="D14" s="634">
        <v>6485</v>
      </c>
      <c r="E14" s="635">
        <f>UTAMA!F46</f>
        <v>38.036000000000001</v>
      </c>
      <c r="F14" s="638">
        <f>+UTAMA!G46</f>
        <v>67.900000000000006</v>
      </c>
      <c r="G14" s="639">
        <f>+UTAMA!I46</f>
        <v>65.790000000000006</v>
      </c>
      <c r="H14" s="640">
        <f>+UTAMA!H46</f>
        <v>26.600999999999999</v>
      </c>
      <c r="I14" s="641">
        <f>+UTAMA!J46</f>
        <v>22.573</v>
      </c>
      <c r="J14" s="181">
        <f t="shared" si="1"/>
        <v>84.857712116085864</v>
      </c>
      <c r="K14" s="183"/>
    </row>
    <row r="15" spans="2:12" ht="15" customHeight="1" x14ac:dyDescent="0.2">
      <c r="B15" s="631">
        <f t="shared" si="0"/>
        <v>7</v>
      </c>
      <c r="C15" s="633" t="s">
        <v>65</v>
      </c>
      <c r="D15" s="634">
        <v>31109</v>
      </c>
      <c r="E15" s="635">
        <f>UTAMA!F47</f>
        <v>388.72199999999998</v>
      </c>
      <c r="F15" s="638">
        <f>+UTAMA!G47</f>
        <v>171.1</v>
      </c>
      <c r="G15" s="639">
        <f>+UTAMA!I47</f>
        <v>175.32</v>
      </c>
      <c r="H15" s="640">
        <f>+UTAMA!H47</f>
        <v>253.61799999999999</v>
      </c>
      <c r="I15" s="641">
        <f>+UTAMA!J47</f>
        <v>293.041</v>
      </c>
      <c r="J15" s="181">
        <f t="shared" si="1"/>
        <v>115.54424370509979</v>
      </c>
      <c r="K15" s="183"/>
    </row>
    <row r="16" spans="2:12" ht="15" customHeight="1" x14ac:dyDescent="0.2">
      <c r="B16" s="631">
        <f t="shared" si="0"/>
        <v>8</v>
      </c>
      <c r="C16" s="633" t="s">
        <v>66</v>
      </c>
      <c r="D16" s="634">
        <v>8400</v>
      </c>
      <c r="E16" s="635">
        <f>UTAMA!F48</f>
        <v>23.24</v>
      </c>
      <c r="F16" s="638">
        <f>+UTAMA!G48</f>
        <v>229</v>
      </c>
      <c r="G16" s="639">
        <f>+UTAMA!I48</f>
        <v>229.59</v>
      </c>
      <c r="H16" s="640">
        <f>+UTAMA!H48</f>
        <v>5.181</v>
      </c>
      <c r="I16" s="641">
        <f>+UTAMA!J48</f>
        <v>8.0489999999999995</v>
      </c>
      <c r="J16" s="181">
        <f t="shared" si="1"/>
        <v>155.35610885929356</v>
      </c>
      <c r="K16" s="183"/>
      <c r="L16" s="442"/>
    </row>
    <row r="17" spans="2:11" ht="15" customHeight="1" x14ac:dyDescent="0.2">
      <c r="B17" s="631">
        <v>9</v>
      </c>
      <c r="C17" s="633" t="s">
        <v>218</v>
      </c>
      <c r="D17" s="634">
        <v>0</v>
      </c>
      <c r="E17" s="471">
        <f>UTAMA!F49</f>
        <v>17.670000000000002</v>
      </c>
      <c r="F17" s="638">
        <f>+UTAMA!G49</f>
        <v>146.06</v>
      </c>
      <c r="G17" s="639">
        <f>+UTAMA!I49</f>
        <v>149.41999999999999</v>
      </c>
      <c r="H17" s="640">
        <f>+UTAMA!H49</f>
        <v>8.5</v>
      </c>
      <c r="I17" s="641">
        <f>+UTAMA!J49</f>
        <v>11.04</v>
      </c>
      <c r="J17" s="181">
        <f t="shared" si="1"/>
        <v>129.88235294117646</v>
      </c>
      <c r="K17" s="183"/>
    </row>
    <row r="18" spans="2:11" ht="15" customHeight="1" thickBot="1" x14ac:dyDescent="0.25">
      <c r="B18" s="642"/>
      <c r="C18" s="643" t="s">
        <v>89</v>
      </c>
      <c r="D18" s="644">
        <f>SUM(D9:D16)</f>
        <v>206262</v>
      </c>
      <c r="E18" s="645">
        <f>SUM(E9:E17)</f>
        <v>1681.6225980000002</v>
      </c>
      <c r="F18" s="646"/>
      <c r="G18" s="644"/>
      <c r="H18" s="647">
        <f>SUM(H9:H17)</f>
        <v>1067.5761210000001</v>
      </c>
      <c r="I18" s="647">
        <f>SUM(I9:I17)</f>
        <v>1271.4659999999999</v>
      </c>
      <c r="J18" s="648">
        <f>I18/H18*100</f>
        <v>119.09839261007598</v>
      </c>
      <c r="K18" s="469"/>
    </row>
    <row r="19" spans="2:11" ht="15" customHeight="1" thickBot="1" x14ac:dyDescent="0.25">
      <c r="B19" s="649"/>
      <c r="C19" s="650" t="s">
        <v>69</v>
      </c>
      <c r="D19" s="650"/>
      <c r="E19" s="651"/>
      <c r="F19" s="652"/>
      <c r="G19" s="653"/>
      <c r="H19" s="654" t="s">
        <v>95</v>
      </c>
      <c r="I19" s="655">
        <f>+I18/H18*100%</f>
        <v>1.1909839261007598</v>
      </c>
      <c r="J19" s="655"/>
      <c r="K19" s="470"/>
    </row>
    <row r="20" spans="2:11" x14ac:dyDescent="0.2">
      <c r="B20" s="656"/>
      <c r="C20" s="657" t="s">
        <v>90</v>
      </c>
      <c r="D20" s="657"/>
      <c r="E20" s="657"/>
      <c r="F20" s="656"/>
      <c r="G20" s="656"/>
      <c r="H20" s="656"/>
      <c r="I20" s="656"/>
      <c r="J20" s="656"/>
      <c r="K20" s="173"/>
    </row>
    <row r="21" spans="2:11" ht="15" customHeight="1" x14ac:dyDescent="0.2">
      <c r="B21" s="656"/>
      <c r="C21" s="656" t="s">
        <v>91</v>
      </c>
      <c r="D21" s="656"/>
      <c r="E21" s="656"/>
      <c r="F21" s="656"/>
      <c r="G21" s="656"/>
      <c r="H21" s="656"/>
      <c r="I21" s="656"/>
      <c r="J21" s="656" t="s">
        <v>96</v>
      </c>
      <c r="K21" s="173"/>
    </row>
    <row r="22" spans="2:11" ht="15" customHeight="1" x14ac:dyDescent="0.2">
      <c r="B22" s="656"/>
      <c r="C22" s="656" t="s">
        <v>97</v>
      </c>
      <c r="D22" s="658" t="s">
        <v>98</v>
      </c>
      <c r="E22" s="658"/>
      <c r="F22" s="656" t="s">
        <v>99</v>
      </c>
      <c r="G22" s="656"/>
      <c r="H22" s="656"/>
      <c r="I22" s="621" t="s">
        <v>177</v>
      </c>
      <c r="J22" s="659">
        <f>COUNTIF(J9:J17,"&gt;100")</f>
        <v>6</v>
      </c>
      <c r="K22" s="175"/>
    </row>
    <row r="23" spans="2:11" ht="15" customHeight="1" x14ac:dyDescent="0.2">
      <c r="B23" s="656"/>
      <c r="C23" s="656" t="s">
        <v>100</v>
      </c>
      <c r="D23" s="658" t="s">
        <v>98</v>
      </c>
      <c r="E23" s="658"/>
      <c r="F23" s="656" t="s">
        <v>101</v>
      </c>
      <c r="G23" s="656"/>
      <c r="H23" s="656"/>
      <c r="I23" s="621" t="s">
        <v>177</v>
      </c>
      <c r="J23" s="660">
        <f>COUNTIFS(J9:J17,"&gt;=85",J9:J17,"&lt;=100")</f>
        <v>2</v>
      </c>
      <c r="K23" s="175"/>
    </row>
    <row r="24" spans="2:11" ht="15" customHeight="1" x14ac:dyDescent="0.2">
      <c r="B24" s="656"/>
      <c r="C24" s="656" t="s">
        <v>102</v>
      </c>
      <c r="D24" s="658" t="s">
        <v>98</v>
      </c>
      <c r="E24" s="658"/>
      <c r="F24" s="656" t="s">
        <v>103</v>
      </c>
      <c r="G24" s="656"/>
      <c r="H24" s="656"/>
      <c r="I24" s="621" t="s">
        <v>177</v>
      </c>
      <c r="J24" s="661">
        <f>COUNTIFS(J9:J17,"&gt;0",J9:J17,"&lt;85")</f>
        <v>1</v>
      </c>
      <c r="K24" s="175"/>
    </row>
    <row r="25" spans="2:11" ht="15" customHeight="1" thickBot="1" x14ac:dyDescent="0.25">
      <c r="B25" s="656"/>
      <c r="C25" s="662">
        <v>0</v>
      </c>
      <c r="D25" s="658" t="s">
        <v>98</v>
      </c>
      <c r="E25" s="658"/>
      <c r="F25" s="656" t="s">
        <v>104</v>
      </c>
      <c r="G25" s="656"/>
      <c r="H25" s="656"/>
      <c r="I25" s="621" t="s">
        <v>177</v>
      </c>
      <c r="J25" s="663">
        <f>COUNTIF(J9:J16,"0")</f>
        <v>0</v>
      </c>
      <c r="K25" s="175"/>
    </row>
    <row r="26" spans="2:11" ht="15" customHeight="1" thickTop="1" x14ac:dyDescent="0.2">
      <c r="B26" s="656"/>
      <c r="C26" s="656"/>
      <c r="D26" s="656"/>
      <c r="E26" s="656"/>
      <c r="F26" s="656"/>
      <c r="G26" s="929" t="s">
        <v>89</v>
      </c>
      <c r="H26" s="929"/>
      <c r="I26" s="664" t="s">
        <v>98</v>
      </c>
      <c r="J26" s="665">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25" zoomScale="90" zoomScaleNormal="90" workbookViewId="0">
      <selection activeCell="I37" sqref="I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941" t="s">
        <v>158</v>
      </c>
      <c r="C2" s="941"/>
      <c r="D2" s="941"/>
      <c r="E2" s="941"/>
      <c r="F2" s="941"/>
      <c r="G2" s="941"/>
      <c r="H2" s="941"/>
      <c r="I2" s="941"/>
      <c r="J2" s="941"/>
    </row>
    <row r="3" spans="2:10" ht="15.75" x14ac:dyDescent="0.2">
      <c r="B3" s="941" t="s">
        <v>253</v>
      </c>
      <c r="C3" s="941"/>
      <c r="D3" s="941"/>
      <c r="E3" s="941"/>
      <c r="F3" s="941"/>
      <c r="G3" s="941"/>
      <c r="H3" s="941"/>
      <c r="I3" s="941"/>
      <c r="J3" s="941"/>
    </row>
    <row r="4" spans="2:10" ht="15.75" x14ac:dyDescent="0.2">
      <c r="B4" s="941" t="str">
        <f>+UTAMA!B4</f>
        <v xml:space="preserve">MINGGU KE IV FEBRUARI ( 22 FEBRUARI S/D 28 FEBRUARI 2022 ) dalam Juta m3  </v>
      </c>
      <c r="C4" s="941"/>
      <c r="D4" s="941"/>
      <c r="E4" s="941"/>
      <c r="F4" s="941"/>
      <c r="G4" s="941"/>
      <c r="H4" s="941"/>
      <c r="I4" s="941"/>
      <c r="J4" s="941"/>
    </row>
    <row r="5" spans="2:10" ht="13.5" customHeight="1" thickBot="1" x14ac:dyDescent="0.25"/>
    <row r="6" spans="2:10" ht="21" customHeight="1" x14ac:dyDescent="0.2">
      <c r="B6" s="944" t="s">
        <v>18</v>
      </c>
      <c r="C6" s="942" t="s">
        <v>272</v>
      </c>
      <c r="D6" s="280" t="s">
        <v>105</v>
      </c>
      <c r="E6" s="281" t="s">
        <v>25</v>
      </c>
      <c r="F6" s="946" t="s">
        <v>106</v>
      </c>
      <c r="G6" s="947"/>
      <c r="H6" s="948" t="s">
        <v>159</v>
      </c>
      <c r="I6" s="949"/>
      <c r="J6" s="282" t="s">
        <v>69</v>
      </c>
    </row>
    <row r="7" spans="2:10" ht="15.75" x14ac:dyDescent="0.2">
      <c r="B7" s="945"/>
      <c r="C7" s="943"/>
      <c r="D7" s="666" t="s">
        <v>107</v>
      </c>
      <c r="E7" s="667" t="s">
        <v>152</v>
      </c>
      <c r="F7" s="668" t="s">
        <v>94</v>
      </c>
      <c r="G7" s="668" t="s">
        <v>22</v>
      </c>
      <c r="H7" s="669" t="s">
        <v>94</v>
      </c>
      <c r="I7" s="669" t="s">
        <v>22</v>
      </c>
      <c r="J7" s="670" t="s">
        <v>22</v>
      </c>
    </row>
    <row r="8" spans="2:10" ht="15.75" x14ac:dyDescent="0.2">
      <c r="B8" s="671">
        <v>1</v>
      </c>
      <c r="C8" s="672">
        <v>2</v>
      </c>
      <c r="D8" s="672">
        <v>3</v>
      </c>
      <c r="E8" s="672">
        <v>4</v>
      </c>
      <c r="F8" s="672">
        <v>5</v>
      </c>
      <c r="G8" s="672">
        <v>6</v>
      </c>
      <c r="H8" s="672">
        <v>7</v>
      </c>
      <c r="I8" s="672">
        <v>8</v>
      </c>
      <c r="J8" s="673">
        <v>9</v>
      </c>
    </row>
    <row r="9" spans="2:10" ht="15.75" x14ac:dyDescent="0.2">
      <c r="B9" s="671">
        <v>1</v>
      </c>
      <c r="C9" s="674" t="s">
        <v>29</v>
      </c>
      <c r="D9" s="675">
        <v>28310</v>
      </c>
      <c r="E9" s="676">
        <f>UTAMA!F12</f>
        <v>7.77</v>
      </c>
      <c r="F9" s="677">
        <f>+UTAMA!G12</f>
        <v>338.7</v>
      </c>
      <c r="G9" s="678">
        <f>+UTAMA!I12</f>
        <v>339.07</v>
      </c>
      <c r="H9" s="679">
        <f>+UTAMA!H12</f>
        <v>7.0949999999999998</v>
      </c>
      <c r="I9" s="679">
        <f>+UTAMA!J12</f>
        <v>7.41</v>
      </c>
      <c r="J9" s="680">
        <f t="shared" ref="J9:J39" si="0">IFERROR(+I9/H9*100%*100,0)</f>
        <v>104.43974630021143</v>
      </c>
    </row>
    <row r="10" spans="2:10" ht="15.75" x14ac:dyDescent="0.2">
      <c r="B10" s="671">
        <f>1+B9</f>
        <v>2</v>
      </c>
      <c r="C10" s="674" t="s">
        <v>32</v>
      </c>
      <c r="D10" s="675">
        <v>4959</v>
      </c>
      <c r="E10" s="676">
        <f>UTAMA!F15</f>
        <v>9.5030000000000001</v>
      </c>
      <c r="F10" s="677">
        <f>+UTAMA!G15</f>
        <v>205.3</v>
      </c>
      <c r="G10" s="678">
        <f>+UTAMA!I15</f>
        <v>206.3</v>
      </c>
      <c r="H10" s="679">
        <f>+UTAMA!H15</f>
        <v>7.3540000000000001</v>
      </c>
      <c r="I10" s="679">
        <f>UTAMA!J15</f>
        <v>8.67</v>
      </c>
      <c r="J10" s="680">
        <f t="shared" si="0"/>
        <v>117.8950231166712</v>
      </c>
    </row>
    <row r="11" spans="2:10" ht="15.75" x14ac:dyDescent="0.2">
      <c r="B11" s="671">
        <f t="shared" ref="B11:B40" si="1">+B10+1</f>
        <v>3</v>
      </c>
      <c r="C11" s="674" t="s">
        <v>33</v>
      </c>
      <c r="D11" s="675">
        <v>6052</v>
      </c>
      <c r="E11" s="676">
        <f>UTAMA!F16</f>
        <v>5.1509999999999998</v>
      </c>
      <c r="F11" s="677">
        <f>+UTAMA!G16</f>
        <v>316.26</v>
      </c>
      <c r="G11" s="678">
        <f>+UTAMA!I16</f>
        <v>317.35000000000002</v>
      </c>
      <c r="H11" s="679">
        <f>+UTAMA!H16</f>
        <v>3.4660000000000002</v>
      </c>
      <c r="I11" s="679">
        <f>UTAMA!J16</f>
        <v>3.9460000000000002</v>
      </c>
      <c r="J11" s="680">
        <f t="shared" si="0"/>
        <v>113.84881708020774</v>
      </c>
    </row>
    <row r="12" spans="2:10" ht="15.75" x14ac:dyDescent="0.2">
      <c r="B12" s="671">
        <f t="shared" si="1"/>
        <v>4</v>
      </c>
      <c r="C12" s="674" t="s">
        <v>35</v>
      </c>
      <c r="D12" s="675">
        <v>923</v>
      </c>
      <c r="E12" s="676">
        <f>UTAMA!F18</f>
        <v>2.0920000000000001</v>
      </c>
      <c r="F12" s="677">
        <f>+UTAMA!G18</f>
        <v>118.44</v>
      </c>
      <c r="G12" s="681">
        <f>+UTAMA!I18</f>
        <v>117.4</v>
      </c>
      <c r="H12" s="679">
        <f>+UTAMA!H18</f>
        <v>1.232</v>
      </c>
      <c r="I12" s="682">
        <f>UTAMA!J18</f>
        <v>0.66900000000000004</v>
      </c>
      <c r="J12" s="684">
        <f t="shared" si="0"/>
        <v>54.30194805194806</v>
      </c>
    </row>
    <row r="13" spans="2:10" ht="15.75" x14ac:dyDescent="0.2">
      <c r="B13" s="671">
        <f t="shared" si="1"/>
        <v>5</v>
      </c>
      <c r="C13" s="674" t="s">
        <v>36</v>
      </c>
      <c r="D13" s="675">
        <v>251</v>
      </c>
      <c r="E13" s="676">
        <f>UTAMA!F19</f>
        <v>2.3530000000000002</v>
      </c>
      <c r="F13" s="677">
        <f>+UTAMA!G19</f>
        <v>115.88</v>
      </c>
      <c r="G13" s="681">
        <f>+UTAMA!I19</f>
        <v>116.33</v>
      </c>
      <c r="H13" s="679">
        <f>+UTAMA!H19</f>
        <v>0.96199999999999997</v>
      </c>
      <c r="I13" s="682">
        <f>UTAMA!J19</f>
        <v>0.314</v>
      </c>
      <c r="J13" s="684">
        <f t="shared" si="0"/>
        <v>32.640332640332645</v>
      </c>
    </row>
    <row r="14" spans="2:10" ht="15.75" x14ac:dyDescent="0.2">
      <c r="B14" s="671">
        <f t="shared" si="1"/>
        <v>6</v>
      </c>
      <c r="C14" s="674" t="s">
        <v>37</v>
      </c>
      <c r="D14" s="675">
        <v>440</v>
      </c>
      <c r="E14" s="676">
        <f>UTAMA!F20</f>
        <v>4.5999999999999996</v>
      </c>
      <c r="F14" s="677">
        <f>+UTAMA!G20</f>
        <v>42.79</v>
      </c>
      <c r="G14" s="681">
        <f>+UTAMA!I20</f>
        <v>42.63</v>
      </c>
      <c r="H14" s="679">
        <f>+UTAMA!H20</f>
        <v>1.9059999999999999</v>
      </c>
      <c r="I14" s="682">
        <f>UTAMA!J20</f>
        <v>1.536</v>
      </c>
      <c r="J14" s="680">
        <f t="shared" si="0"/>
        <v>80.587618048268624</v>
      </c>
    </row>
    <row r="15" spans="2:10" ht="15.75" x14ac:dyDescent="0.2">
      <c r="B15" s="671">
        <f t="shared" si="1"/>
        <v>7</v>
      </c>
      <c r="C15" s="674" t="s">
        <v>39</v>
      </c>
      <c r="D15" s="675">
        <v>775</v>
      </c>
      <c r="E15" s="676">
        <f>UTAMA!F21</f>
        <v>2.4159999999999999</v>
      </c>
      <c r="F15" s="677">
        <f>+UTAMA!G21</f>
        <v>48.52</v>
      </c>
      <c r="G15" s="678">
        <f>+UTAMA!I21</f>
        <v>49.65</v>
      </c>
      <c r="H15" s="679">
        <f>+UTAMA!H21</f>
        <v>1.4239999999999999</v>
      </c>
      <c r="I15" s="679">
        <f>UTAMA!J21</f>
        <v>1.796</v>
      </c>
      <c r="J15" s="680">
        <f t="shared" si="0"/>
        <v>126.12359550561798</v>
      </c>
    </row>
    <row r="16" spans="2:10" ht="15.75" x14ac:dyDescent="0.2">
      <c r="B16" s="671">
        <f t="shared" si="1"/>
        <v>8</v>
      </c>
      <c r="C16" s="674" t="s">
        <v>40</v>
      </c>
      <c r="D16" s="675">
        <v>750</v>
      </c>
      <c r="E16" s="676">
        <f>UTAMA!F22</f>
        <v>1.093</v>
      </c>
      <c r="F16" s="677">
        <f>+UTAMA!G22</f>
        <v>79.91</v>
      </c>
      <c r="G16" s="678">
        <f>+UTAMA!I22</f>
        <v>78.260000000000005</v>
      </c>
      <c r="H16" s="679">
        <f>+UTAMA!H22</f>
        <v>0.745</v>
      </c>
      <c r="I16" s="679">
        <f>UTAMA!J22</f>
        <v>0.79800000000000004</v>
      </c>
      <c r="J16" s="684">
        <f t="shared" si="0"/>
        <v>107.11409395973155</v>
      </c>
    </row>
    <row r="17" spans="2:10" ht="15.75" x14ac:dyDescent="0.2">
      <c r="B17" s="671">
        <f t="shared" si="1"/>
        <v>9</v>
      </c>
      <c r="C17" s="674" t="s">
        <v>41</v>
      </c>
      <c r="D17" s="675">
        <v>482</v>
      </c>
      <c r="E17" s="676">
        <v>0.42899999999999999</v>
      </c>
      <c r="F17" s="677">
        <f>+UTAMA!G23</f>
        <v>81.96</v>
      </c>
      <c r="G17" s="678">
        <f>+UTAMA!I23</f>
        <v>81.31</v>
      </c>
      <c r="H17" s="679">
        <f>+UTAMA!H23</f>
        <v>0.30299999999999999</v>
      </c>
      <c r="I17" s="679">
        <f>UTAMA!J23</f>
        <v>4.7E-2</v>
      </c>
      <c r="J17" s="680">
        <f t="shared" si="0"/>
        <v>15.511551155115514</v>
      </c>
    </row>
    <row r="18" spans="2:10" ht="15.75" x14ac:dyDescent="0.2">
      <c r="B18" s="671">
        <f t="shared" si="1"/>
        <v>10</v>
      </c>
      <c r="C18" s="674" t="s">
        <v>42</v>
      </c>
      <c r="D18" s="675">
        <v>366</v>
      </c>
      <c r="E18" s="676">
        <f>UTAMA!F24</f>
        <v>0.25</v>
      </c>
      <c r="F18" s="677">
        <f>+UTAMA!G24</f>
        <v>69.47</v>
      </c>
      <c r="G18" s="681">
        <f>+UTAMA!I24</f>
        <v>63.67</v>
      </c>
      <c r="H18" s="679">
        <f>+UTAMA!H24</f>
        <v>0.17599999999999999</v>
      </c>
      <c r="I18" s="682">
        <f>UTAMA!J24</f>
        <v>0.21299999999999999</v>
      </c>
      <c r="J18" s="680">
        <f t="shared" si="0"/>
        <v>121.02272727272727</v>
      </c>
    </row>
    <row r="19" spans="2:10" ht="15.75" x14ac:dyDescent="0.2">
      <c r="B19" s="671">
        <f>+B18+1</f>
        <v>11</v>
      </c>
      <c r="C19" s="674" t="s">
        <v>43</v>
      </c>
      <c r="D19" s="675">
        <v>260</v>
      </c>
      <c r="E19" s="676">
        <f>UTAMA!F25</f>
        <v>0.38500000000000001</v>
      </c>
      <c r="F19" s="677">
        <f>+UTAMA!G25</f>
        <v>45.8</v>
      </c>
      <c r="G19" s="681">
        <f>+UTAMA!I25</f>
        <v>47</v>
      </c>
      <c r="H19" s="679">
        <f>+UTAMA!H25</f>
        <v>8.4000000000000005E-2</v>
      </c>
      <c r="I19" s="682">
        <f>UTAMA!J25</f>
        <v>0.39700000000000002</v>
      </c>
      <c r="J19" s="680">
        <f t="shared" si="0"/>
        <v>472.61904761904765</v>
      </c>
    </row>
    <row r="20" spans="2:10" ht="15.75" x14ac:dyDescent="0.2">
      <c r="B20" s="671">
        <f>+B19+1</f>
        <v>12</v>
      </c>
      <c r="C20" s="674" t="s">
        <v>45</v>
      </c>
      <c r="D20" s="675">
        <v>340</v>
      </c>
      <c r="E20" s="738">
        <f>UTAMA!F27</f>
        <v>2.3410000000000002</v>
      </c>
      <c r="F20" s="677">
        <f>+UTAMA!G27</f>
        <v>113</v>
      </c>
      <c r="G20" s="681">
        <f>+UTAMA!I27</f>
        <v>112.09</v>
      </c>
      <c r="H20" s="679">
        <f>+UTAMA!H27</f>
        <v>2.1120000000000001</v>
      </c>
      <c r="I20" s="682">
        <f>+UTAMA!J27</f>
        <v>1.7237</v>
      </c>
      <c r="J20" s="680">
        <f t="shared" si="0"/>
        <v>81.614583333333329</v>
      </c>
    </row>
    <row r="21" spans="2:10" ht="15.75" x14ac:dyDescent="0.2">
      <c r="B21" s="671">
        <f>+B20+1</f>
        <v>13</v>
      </c>
      <c r="C21" s="674" t="s">
        <v>46</v>
      </c>
      <c r="D21" s="675">
        <v>392</v>
      </c>
      <c r="E21" s="738">
        <f>UTAMA!F28</f>
        <v>0.32300000000000001</v>
      </c>
      <c r="F21" s="677">
        <f>+UTAMA!G28</f>
        <v>203.5</v>
      </c>
      <c r="G21" s="681">
        <f>+UTAMA!I28</f>
        <v>201.8</v>
      </c>
      <c r="H21" s="679">
        <f>+UTAMA!H28</f>
        <v>0.27300000000000002</v>
      </c>
      <c r="I21" s="682">
        <f>+UTAMA!J28</f>
        <v>0.1249</v>
      </c>
      <c r="J21" s="684">
        <f t="shared" si="0"/>
        <v>45.750915750915745</v>
      </c>
    </row>
    <row r="22" spans="2:10" ht="15.75" x14ac:dyDescent="0.2">
      <c r="B22" s="671">
        <f t="shared" si="1"/>
        <v>14</v>
      </c>
      <c r="C22" s="674" t="s">
        <v>47</v>
      </c>
      <c r="D22" s="675">
        <v>394</v>
      </c>
      <c r="E22" s="738">
        <f>UTAMA!F29</f>
        <v>0.42899999999999999</v>
      </c>
      <c r="F22" s="677">
        <f>+UTAMA!G29</f>
        <v>223.53</v>
      </c>
      <c r="G22" s="681">
        <f>+UTAMA!I29</f>
        <v>221.52</v>
      </c>
      <c r="H22" s="679">
        <f>+UTAMA!H29</f>
        <v>0.38400000000000001</v>
      </c>
      <c r="I22" s="682">
        <f>+UTAMA!J29</f>
        <v>0.2392</v>
      </c>
      <c r="J22" s="684">
        <f t="shared" si="0"/>
        <v>62.291666666666664</v>
      </c>
    </row>
    <row r="23" spans="2:10" ht="15.75" x14ac:dyDescent="0.2">
      <c r="B23" s="671">
        <f t="shared" si="1"/>
        <v>15</v>
      </c>
      <c r="C23" s="674" t="s">
        <v>48</v>
      </c>
      <c r="D23" s="675">
        <v>707</v>
      </c>
      <c r="E23" s="738">
        <f>UTAMA!F30</f>
        <v>0.77100000000000002</v>
      </c>
      <c r="F23" s="677">
        <f>+UTAMA!G30</f>
        <v>195.5</v>
      </c>
      <c r="G23" s="681">
        <f>+UTAMA!I30</f>
        <v>196.05</v>
      </c>
      <c r="H23" s="679">
        <f>+UTAMA!H30</f>
        <v>0.67500000000000004</v>
      </c>
      <c r="I23" s="682">
        <f>+UTAMA!J30</f>
        <v>0.78080000000000005</v>
      </c>
      <c r="J23" s="684">
        <f t="shared" si="0"/>
        <v>115.67407407407408</v>
      </c>
    </row>
    <row r="24" spans="2:10" ht="15.75" x14ac:dyDescent="0.2">
      <c r="B24" s="671">
        <f t="shared" si="1"/>
        <v>16</v>
      </c>
      <c r="C24" s="674" t="s">
        <v>49</v>
      </c>
      <c r="D24" s="675">
        <v>92</v>
      </c>
      <c r="E24" s="738">
        <f>UTAMA!F31</f>
        <v>0.22600000000000001</v>
      </c>
      <c r="F24" s="677">
        <f>+UTAMA!G31</f>
        <v>170.57</v>
      </c>
      <c r="G24" s="681">
        <f>+UTAMA!I31</f>
        <v>168.47</v>
      </c>
      <c r="H24" s="679">
        <f>+UTAMA!H31</f>
        <v>0.16300000000000001</v>
      </c>
      <c r="I24" s="682">
        <f>+UTAMA!J31</f>
        <v>5.7000000000000002E-2</v>
      </c>
      <c r="J24" s="680">
        <f t="shared" si="0"/>
        <v>34.969325153374228</v>
      </c>
    </row>
    <row r="25" spans="2:10" ht="15.75" x14ac:dyDescent="0.2">
      <c r="B25" s="671">
        <f t="shared" si="1"/>
        <v>17</v>
      </c>
      <c r="C25" s="674" t="s">
        <v>50</v>
      </c>
      <c r="D25" s="675">
        <v>319</v>
      </c>
      <c r="E25" s="738">
        <f>UTAMA!F32</f>
        <v>0.71399999999999997</v>
      </c>
      <c r="F25" s="677">
        <f>+UTAMA!G32</f>
        <v>226.6</v>
      </c>
      <c r="G25" s="681">
        <f>+UTAMA!I32</f>
        <v>226.12</v>
      </c>
      <c r="H25" s="679">
        <f>+UTAMA!H32</f>
        <v>0.49199999999999999</v>
      </c>
      <c r="I25" s="682">
        <f>+UTAMA!J32</f>
        <v>0.45069999999999999</v>
      </c>
      <c r="J25" s="684">
        <f t="shared" si="0"/>
        <v>91.605691056910558</v>
      </c>
    </row>
    <row r="26" spans="2:10" ht="15.75" x14ac:dyDescent="0.2">
      <c r="B26" s="671">
        <f t="shared" si="1"/>
        <v>18</v>
      </c>
      <c r="C26" s="674" t="s">
        <v>51</v>
      </c>
      <c r="D26" s="675">
        <v>635</v>
      </c>
      <c r="E26" s="738">
        <f>UTAMA!F33</f>
        <v>1.708</v>
      </c>
      <c r="F26" s="677">
        <f>+UTAMA!G33</f>
        <v>248.7</v>
      </c>
      <c r="G26" s="681">
        <f>+UTAMA!I33</f>
        <v>247.9</v>
      </c>
      <c r="H26" s="679">
        <f>+UTAMA!H33</f>
        <v>1.708</v>
      </c>
      <c r="I26" s="682">
        <f>+UTAMA!J33</f>
        <v>1.4849000000000001</v>
      </c>
      <c r="J26" s="684">
        <f t="shared" si="0"/>
        <v>86.937939110070261</v>
      </c>
    </row>
    <row r="27" spans="2:10" ht="15.75" x14ac:dyDescent="0.2">
      <c r="B27" s="671">
        <f t="shared" si="1"/>
        <v>19</v>
      </c>
      <c r="C27" s="674" t="s">
        <v>52</v>
      </c>
      <c r="D27" s="675">
        <v>2000</v>
      </c>
      <c r="E27" s="738">
        <f>UTAMA!F34</f>
        <v>4.3979999999999997</v>
      </c>
      <c r="F27" s="677">
        <f>+UTAMA!G34</f>
        <v>140</v>
      </c>
      <c r="G27" s="678">
        <f>+UTAMA!I34</f>
        <v>140</v>
      </c>
      <c r="H27" s="679">
        <f>+UTAMA!H34</f>
        <v>0</v>
      </c>
      <c r="I27" s="679">
        <f>+UTAMA!J34</f>
        <v>0</v>
      </c>
      <c r="J27" s="680">
        <f t="shared" si="0"/>
        <v>0</v>
      </c>
    </row>
    <row r="28" spans="2:10" ht="15.75" x14ac:dyDescent="0.2">
      <c r="B28" s="671">
        <f t="shared" si="1"/>
        <v>20</v>
      </c>
      <c r="C28" s="674" t="s">
        <v>53</v>
      </c>
      <c r="D28" s="675">
        <v>1126</v>
      </c>
      <c r="E28" s="738">
        <f>UTAMA!F35</f>
        <v>3.3109999999999999</v>
      </c>
      <c r="F28" s="677">
        <f>+UTAMA!G35</f>
        <v>204.56</v>
      </c>
      <c r="G28" s="678">
        <f>+UTAMA!I35</f>
        <v>204.16</v>
      </c>
      <c r="H28" s="679">
        <f>+UTAMA!H35</f>
        <v>3.052</v>
      </c>
      <c r="I28" s="679">
        <f>+UTAMA!J35</f>
        <v>2.8117999999999999</v>
      </c>
      <c r="J28" s="684">
        <f t="shared" si="0"/>
        <v>92.129750982961994</v>
      </c>
    </row>
    <row r="29" spans="2:10" ht="15.75" x14ac:dyDescent="0.2">
      <c r="B29" s="671">
        <f t="shared" si="1"/>
        <v>21</v>
      </c>
      <c r="C29" s="674" t="s">
        <v>54</v>
      </c>
      <c r="D29" s="675">
        <v>1531</v>
      </c>
      <c r="E29" s="738">
        <f>UTAMA!F36</f>
        <v>0.64100000000000001</v>
      </c>
      <c r="F29" s="677">
        <f>+UTAMA!G36</f>
        <v>325.5</v>
      </c>
      <c r="G29" s="681">
        <f>+UTAMA!I36</f>
        <v>325.2</v>
      </c>
      <c r="H29" s="679">
        <f>+UTAMA!H36</f>
        <v>0.69599999999999995</v>
      </c>
      <c r="I29" s="682">
        <f>+UTAMA!J36</f>
        <v>0.66800000000000004</v>
      </c>
      <c r="J29" s="684">
        <f t="shared" si="0"/>
        <v>95.977011494252878</v>
      </c>
    </row>
    <row r="30" spans="2:10" ht="15.75" x14ac:dyDescent="0.2">
      <c r="B30" s="671">
        <f t="shared" si="1"/>
        <v>22</v>
      </c>
      <c r="C30" s="674" t="s">
        <v>55</v>
      </c>
      <c r="D30" s="675">
        <v>358</v>
      </c>
      <c r="E30" s="738">
        <f>UTAMA!F37</f>
        <v>0.71</v>
      </c>
      <c r="F30" s="677">
        <f>+UTAMA!G37</f>
        <v>129.19999999999999</v>
      </c>
      <c r="G30" s="681">
        <f>+UTAMA!I37</f>
        <v>128.81</v>
      </c>
      <c r="H30" s="679">
        <f>+UTAMA!H37</f>
        <v>0.71</v>
      </c>
      <c r="I30" s="682">
        <f>+UTAMA!J37</f>
        <v>0.65710000000000002</v>
      </c>
      <c r="J30" s="680">
        <f t="shared" si="0"/>
        <v>92.549295774647902</v>
      </c>
    </row>
    <row r="31" spans="2:10" ht="15.75" x14ac:dyDescent="0.2">
      <c r="B31" s="671">
        <f t="shared" si="1"/>
        <v>23</v>
      </c>
      <c r="C31" s="674" t="s">
        <v>56</v>
      </c>
      <c r="D31" s="675">
        <v>2488</v>
      </c>
      <c r="E31" s="738">
        <f>UTAMA!F38</f>
        <v>0.48</v>
      </c>
      <c r="F31" s="677">
        <f>+UTAMA!G38</f>
        <v>282.95999999999998</v>
      </c>
      <c r="G31" s="678">
        <f>+UTAMA!I38</f>
        <v>283.02999999999997</v>
      </c>
      <c r="H31" s="679">
        <f>+UTAMA!H38</f>
        <v>0.48</v>
      </c>
      <c r="I31" s="682">
        <f>+UTAMA!J38</f>
        <v>0.48499999999999999</v>
      </c>
      <c r="J31" s="680">
        <f t="shared" si="0"/>
        <v>101.04166666666667</v>
      </c>
    </row>
    <row r="32" spans="2:10" ht="15.75" x14ac:dyDescent="0.2">
      <c r="B32" s="671">
        <f t="shared" si="1"/>
        <v>24</v>
      </c>
      <c r="C32" s="674" t="s">
        <v>57</v>
      </c>
      <c r="D32" s="675">
        <v>426</v>
      </c>
      <c r="E32" s="738">
        <f>UTAMA!F39</f>
        <v>2.8849999999999998</v>
      </c>
      <c r="F32" s="677">
        <f>+UTAMA!G39</f>
        <v>98.85</v>
      </c>
      <c r="G32" s="681">
        <f>+UTAMA!I39</f>
        <v>98.92</v>
      </c>
      <c r="H32" s="679">
        <f>+UTAMA!H39</f>
        <v>2.7770000000000001</v>
      </c>
      <c r="I32" s="682">
        <f>+UTAMA!J39</f>
        <v>2.8273000000000001</v>
      </c>
      <c r="J32" s="680">
        <f t="shared" si="0"/>
        <v>101.81130716600649</v>
      </c>
    </row>
    <row r="33" spans="2:13" ht="15.75" x14ac:dyDescent="0.2">
      <c r="B33" s="671">
        <f t="shared" si="1"/>
        <v>25</v>
      </c>
      <c r="C33" s="674" t="s">
        <v>58</v>
      </c>
      <c r="D33" s="675">
        <v>295</v>
      </c>
      <c r="E33" s="738">
        <f>UTAMA!F40</f>
        <v>7.9000000000000001E-2</v>
      </c>
      <c r="F33" s="677">
        <f>+UTAMA!G40</f>
        <v>189.7</v>
      </c>
      <c r="G33" s="681">
        <f>+UTAMA!I40</f>
        <v>189.36</v>
      </c>
      <c r="H33" s="679">
        <f>+UTAMA!H40</f>
        <v>0.08</v>
      </c>
      <c r="I33" s="682">
        <f>+UTAMA!J40</f>
        <v>7.2599999999999998E-2</v>
      </c>
      <c r="J33" s="680">
        <f t="shared" si="0"/>
        <v>90.75</v>
      </c>
    </row>
    <row r="34" spans="2:13" ht="15.75" x14ac:dyDescent="0.2">
      <c r="B34" s="671">
        <f t="shared" si="1"/>
        <v>26</v>
      </c>
      <c r="C34" s="674" t="s">
        <v>59</v>
      </c>
      <c r="D34" s="675">
        <v>708</v>
      </c>
      <c r="E34" s="738">
        <f>UTAMA!F41</f>
        <v>9.6000000000000002E-2</v>
      </c>
      <c r="F34" s="677">
        <f>+UTAMA!G41</f>
        <v>171.2</v>
      </c>
      <c r="G34" s="681">
        <f>+UTAMA!I41</f>
        <v>171.28</v>
      </c>
      <c r="H34" s="679">
        <f>+UTAMA!H41</f>
        <v>9.7000000000000003E-2</v>
      </c>
      <c r="I34" s="682">
        <f>+UTAMA!J41</f>
        <v>9.9099999999999994E-2</v>
      </c>
      <c r="J34" s="680">
        <f t="shared" si="0"/>
        <v>102.16494845360825</v>
      </c>
    </row>
    <row r="35" spans="2:13" ht="15.75" x14ac:dyDescent="0.2">
      <c r="B35" s="671">
        <f t="shared" si="1"/>
        <v>27</v>
      </c>
      <c r="C35" s="674" t="s">
        <v>60</v>
      </c>
      <c r="D35" s="675">
        <v>1567</v>
      </c>
      <c r="E35" s="738">
        <f>UTAMA!F42</f>
        <v>9.8740000000000006</v>
      </c>
      <c r="F35" s="677">
        <f>+UTAMA!G42</f>
        <v>140.30000000000001</v>
      </c>
      <c r="G35" s="678">
        <f>+UTAMA!I42</f>
        <v>139.63</v>
      </c>
      <c r="H35" s="679">
        <f>+UTAMA!H42</f>
        <v>9.1560000000000006</v>
      </c>
      <c r="I35" s="679">
        <f>+UTAMA!J42</f>
        <v>7.2649999999999997</v>
      </c>
      <c r="J35" s="680">
        <f t="shared" si="0"/>
        <v>79.346876365224986</v>
      </c>
    </row>
    <row r="36" spans="2:13" ht="15.75" x14ac:dyDescent="0.2">
      <c r="B36" s="671">
        <f t="shared" si="1"/>
        <v>28</v>
      </c>
      <c r="C36" s="674" t="s">
        <v>61</v>
      </c>
      <c r="D36" s="675">
        <v>1353</v>
      </c>
      <c r="E36" s="738">
        <f>UTAMA!F43</f>
        <v>2.6720000000000002</v>
      </c>
      <c r="F36" s="677">
        <f>+UTAMA!G43</f>
        <v>239.7</v>
      </c>
      <c r="G36" s="678">
        <f>+UTAMA!I43</f>
        <v>239.28</v>
      </c>
      <c r="H36" s="679">
        <f>+UTAMA!H43</f>
        <v>2.8559999999999999</v>
      </c>
      <c r="I36" s="679">
        <f>+UTAMA!J43</f>
        <v>2.5903999999999998</v>
      </c>
      <c r="J36" s="684">
        <f t="shared" si="0"/>
        <v>90.700280112044823</v>
      </c>
    </row>
    <row r="37" spans="2:13" ht="15.75" x14ac:dyDescent="0.2">
      <c r="B37" s="671">
        <f t="shared" si="1"/>
        <v>29</v>
      </c>
      <c r="C37" s="674" t="s">
        <v>62</v>
      </c>
      <c r="D37" s="675">
        <v>53</v>
      </c>
      <c r="E37" s="738">
        <f>UTAMA!F44</f>
        <v>4.1539999999999999</v>
      </c>
      <c r="F37" s="677">
        <f>+UTAMA!G44</f>
        <v>120.75</v>
      </c>
      <c r="G37" s="678">
        <f>+UTAMA!I44</f>
        <v>120.6</v>
      </c>
      <c r="H37" s="679">
        <f>+UTAMA!H44</f>
        <v>4.1539999999999999</v>
      </c>
      <c r="I37" s="679">
        <f>+UTAMA!J44</f>
        <v>3.8681000000000001</v>
      </c>
      <c r="J37" s="680">
        <f t="shared" si="0"/>
        <v>93.117477130476658</v>
      </c>
    </row>
    <row r="38" spans="2:13" ht="15.75" x14ac:dyDescent="0.2">
      <c r="B38" s="671">
        <f t="shared" si="1"/>
        <v>30</v>
      </c>
      <c r="C38" s="674" t="s">
        <v>63</v>
      </c>
      <c r="D38" s="675">
        <v>51</v>
      </c>
      <c r="E38" s="738">
        <f>UTAMA!F45</f>
        <v>2.75</v>
      </c>
      <c r="F38" s="677">
        <f>+UTAMA!G45</f>
        <v>110.36</v>
      </c>
      <c r="G38" s="678">
        <f>+UTAMA!I45</f>
        <v>110.53</v>
      </c>
      <c r="H38" s="679">
        <f>+UTAMA!H45</f>
        <v>2.371</v>
      </c>
      <c r="I38" s="679">
        <f>+UTAMA!J45</f>
        <v>2.6930999999999998</v>
      </c>
      <c r="J38" s="680">
        <f t="shared" si="0"/>
        <v>113.58498523829607</v>
      </c>
    </row>
    <row r="39" spans="2:13" ht="15.75" x14ac:dyDescent="0.2">
      <c r="B39" s="671">
        <f t="shared" si="1"/>
        <v>31</v>
      </c>
      <c r="C39" s="674" t="s">
        <v>213</v>
      </c>
      <c r="D39" s="675">
        <v>0</v>
      </c>
      <c r="E39" s="676">
        <f>UTAMA!F50</f>
        <v>0.47399999999999998</v>
      </c>
      <c r="F39" s="677">
        <f>+UTAMA!G50</f>
        <v>37.590000000000003</v>
      </c>
      <c r="G39" s="678">
        <f>+UTAMA!I50</f>
        <v>39</v>
      </c>
      <c r="H39" s="679">
        <f>+UTAMA!H50</f>
        <v>0.32900000000000001</v>
      </c>
      <c r="I39" s="679">
        <f>UTAMA!J50</f>
        <v>0.47</v>
      </c>
      <c r="J39" s="680">
        <f t="shared" si="0"/>
        <v>142.85714285714283</v>
      </c>
    </row>
    <row r="40" spans="2:13" ht="15.75" x14ac:dyDescent="0.2">
      <c r="B40" s="671">
        <f t="shared" si="1"/>
        <v>32</v>
      </c>
      <c r="C40" s="674" t="s">
        <v>214</v>
      </c>
      <c r="D40" s="675">
        <v>0</v>
      </c>
      <c r="E40" s="676">
        <f>UTAMA!F51</f>
        <v>0.81699999999999995</v>
      </c>
      <c r="F40" s="677">
        <f>+UTAMA!G51</f>
        <v>64.2</v>
      </c>
      <c r="G40" s="678">
        <f>+UTAMA!I51</f>
        <v>70.05</v>
      </c>
      <c r="H40" s="679">
        <f>+UTAMA!H51</f>
        <v>7.1999999999999995E-2</v>
      </c>
      <c r="I40" s="679">
        <f>UTAMA!J51</f>
        <v>0.753</v>
      </c>
      <c r="J40" s="683">
        <f>IFERROR(+I40/H40*100%*100,0)</f>
        <v>1045.8333333333335</v>
      </c>
    </row>
    <row r="41" spans="2:13" ht="16.5" thickBot="1" x14ac:dyDescent="0.25">
      <c r="B41" s="685"/>
      <c r="C41" s="686" t="s">
        <v>89</v>
      </c>
      <c r="D41" s="687">
        <f>SUM(D9:D40)</f>
        <v>58403</v>
      </c>
      <c r="E41" s="688">
        <f>SUM(E9:E40)</f>
        <v>75.894999999999982</v>
      </c>
      <c r="F41" s="689"/>
      <c r="G41" s="689"/>
      <c r="H41" s="690">
        <f>SUM(H9:H40)</f>
        <v>57.384</v>
      </c>
      <c r="I41" s="691">
        <f>SUM(I9:I40)</f>
        <v>55.917700000000004</v>
      </c>
      <c r="J41" s="692">
        <f>+I41/H41*100%*100</f>
        <v>97.444758120730526</v>
      </c>
    </row>
    <row r="42" spans="2:13" ht="16.5" thickBot="1" x14ac:dyDescent="0.25">
      <c r="B42" s="693" t="s">
        <v>68</v>
      </c>
      <c r="C42" s="694" t="s">
        <v>69</v>
      </c>
      <c r="D42" s="694"/>
      <c r="E42" s="695"/>
      <c r="F42" s="696"/>
      <c r="G42" s="696"/>
      <c r="H42" s="697" t="s">
        <v>95</v>
      </c>
      <c r="I42" s="698">
        <f>+I41/H41*100%</f>
        <v>0.97444758120730524</v>
      </c>
      <c r="J42" s="699"/>
    </row>
    <row r="43" spans="2:13" ht="15" x14ac:dyDescent="0.2">
      <c r="B43" s="700"/>
      <c r="C43" s="701" t="s">
        <v>90</v>
      </c>
      <c r="D43" s="701"/>
      <c r="E43" s="701"/>
      <c r="F43" s="702"/>
      <c r="G43" s="702"/>
      <c r="H43" s="702"/>
      <c r="I43" s="702"/>
      <c r="J43" s="702"/>
    </row>
    <row r="44" spans="2:13" ht="15.75" x14ac:dyDescent="0.25">
      <c r="B44" s="700"/>
      <c r="C44" s="702" t="s">
        <v>91</v>
      </c>
      <c r="D44" s="702"/>
      <c r="E44" s="702"/>
      <c r="F44" s="702"/>
      <c r="G44" s="702"/>
      <c r="H44" s="702"/>
      <c r="I44" s="702"/>
      <c r="J44" s="702"/>
      <c r="M44" s="210"/>
    </row>
    <row r="45" spans="2:13" ht="15" x14ac:dyDescent="0.2">
      <c r="B45" s="700"/>
      <c r="C45" s="702" t="s">
        <v>97</v>
      </c>
      <c r="D45" s="702"/>
      <c r="E45" s="703" t="s">
        <v>98</v>
      </c>
      <c r="F45" s="702" t="s">
        <v>99</v>
      </c>
      <c r="G45" s="702"/>
      <c r="H45" s="702"/>
      <c r="I45" s="704" t="s">
        <v>176</v>
      </c>
      <c r="J45" s="283">
        <f>COUNTIF(J9:J40,"&gt;100")</f>
        <v>14</v>
      </c>
    </row>
    <row r="46" spans="2:13" ht="15" x14ac:dyDescent="0.2">
      <c r="B46" s="700"/>
      <c r="C46" s="702" t="s">
        <v>100</v>
      </c>
      <c r="D46" s="702"/>
      <c r="E46" s="703" t="s">
        <v>98</v>
      </c>
      <c r="F46" s="702" t="s">
        <v>101</v>
      </c>
      <c r="G46" s="702"/>
      <c r="H46" s="702"/>
      <c r="I46" s="704" t="s">
        <v>176</v>
      </c>
      <c r="J46" s="705">
        <f>COUNTIFS(J9:J40,"&gt;=85",J9:J40,"&lt;=100")</f>
        <v>8</v>
      </c>
    </row>
    <row r="47" spans="2:13" ht="15" x14ac:dyDescent="0.2">
      <c r="B47" s="700"/>
      <c r="C47" s="702" t="s">
        <v>102</v>
      </c>
      <c r="D47" s="702"/>
      <c r="E47" s="703" t="s">
        <v>98</v>
      </c>
      <c r="F47" s="702" t="s">
        <v>103</v>
      </c>
      <c r="G47" s="702"/>
      <c r="H47" s="702"/>
      <c r="I47" s="704" t="s">
        <v>176</v>
      </c>
      <c r="J47" s="284">
        <f>COUNTIFS(J9:J40,"&gt;0",J9:J40,"&lt;=85")</f>
        <v>9</v>
      </c>
    </row>
    <row r="48" spans="2:13" ht="15.75" thickBot="1" x14ac:dyDescent="0.25">
      <c r="B48" s="700"/>
      <c r="C48" s="706">
        <v>0</v>
      </c>
      <c r="D48" s="706"/>
      <c r="E48" s="703" t="s">
        <v>98</v>
      </c>
      <c r="F48" s="702" t="s">
        <v>127</v>
      </c>
      <c r="G48" s="702"/>
      <c r="H48" s="702"/>
      <c r="I48" s="704" t="s">
        <v>176</v>
      </c>
      <c r="J48" s="707">
        <f>COUNTIF(J9:J40,"0")</f>
        <v>1</v>
      </c>
    </row>
    <row r="49" spans="2:10" ht="16.5" thickTop="1" x14ac:dyDescent="0.2">
      <c r="B49" s="700"/>
      <c r="C49" s="702"/>
      <c r="D49" s="702"/>
      <c r="E49" s="702"/>
      <c r="F49" s="703"/>
      <c r="G49" s="702"/>
      <c r="H49" s="702"/>
      <c r="I49" s="621" t="s">
        <v>89</v>
      </c>
      <c r="J49" s="708">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I15" sqref="I15"/>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50" t="s">
        <v>337</v>
      </c>
      <c r="C1" s="951"/>
      <c r="D1" s="951"/>
      <c r="E1" s="951"/>
      <c r="F1" s="951"/>
      <c r="G1" s="951"/>
      <c r="H1" s="951"/>
      <c r="I1" s="951"/>
      <c r="J1" s="951"/>
      <c r="K1" s="951"/>
      <c r="L1" s="951"/>
      <c r="M1" s="951"/>
      <c r="N1" s="951"/>
      <c r="O1" s="951"/>
      <c r="P1" s="951"/>
      <c r="Q1" s="951"/>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x14ac:dyDescent="0.35">
      <c r="B2" s="952" t="s">
        <v>340</v>
      </c>
      <c r="C2" s="953"/>
      <c r="D2" s="953"/>
      <c r="E2" s="953"/>
      <c r="F2" s="953"/>
      <c r="G2" s="953"/>
      <c r="H2" s="953"/>
      <c r="I2" s="953"/>
      <c r="J2" s="953"/>
      <c r="K2" s="953"/>
      <c r="L2" s="953"/>
      <c r="M2" s="953"/>
      <c r="N2" s="953"/>
      <c r="O2" s="953"/>
      <c r="P2" s="953"/>
      <c r="Q2" s="953"/>
      <c r="R2" s="322"/>
      <c r="S2" s="371">
        <v>1</v>
      </c>
      <c r="T2" s="265" t="str">
        <f>IF('RINCI 1'!J9=0,"Kosong",IF('RINCI 1'!J9&lt;85,"Di Bawah Rencana",IF('RINCI 1'!J9&gt;100,"Di Atas Rencana","Sesuai Rencana")))</f>
        <v>Sesuai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Lalung</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Di Atas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Sempor</v>
      </c>
      <c r="Y5" s="265"/>
      <c r="Z5" s="265"/>
      <c r="AA5" s="372">
        <v>4</v>
      </c>
      <c r="AB5" s="265" t="str">
        <f>IF('RINCI 2'!J12=0,"Kosong",IF('RINCI 2'!J12&lt;85,"Di Bawah Rencana",IF('RINCI 2'!J12&gt;100,"Di Atas Rencana","Sesuai Rencana")))</f>
        <v>Di Bawah Rencana</v>
      </c>
      <c r="AC5" s="265" t="s">
        <v>35</v>
      </c>
      <c r="AD5" s="265"/>
      <c r="AE5" s="318" t="s">
        <v>166</v>
      </c>
      <c r="AF5" s="265" t="str">
        <f t="array" ref="AF5">IF(ISERROR(INDEX($AB$1:$AC$33,SMALL(IF($AB$1:$AB$33=$AF$4,ROW($AB$1:$AB$33)),ROW(1:1)),2)),"",INDEX($AB$1:$AC$33,SMALL(IF($AB$1:$AB$33=$AF$4,ROW($AB$1:$AB$33)),ROW(1:1)),2))</f>
        <v>Tempuran</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Sesuai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Bawah Rencana</v>
      </c>
      <c r="U7" s="265" t="s">
        <v>64</v>
      </c>
      <c r="V7" s="265"/>
      <c r="W7" s="318" t="s">
        <v>164</v>
      </c>
      <c r="X7" s="318" t="s">
        <v>169</v>
      </c>
      <c r="Y7" s="265"/>
      <c r="Z7" s="265"/>
      <c r="AA7" s="372">
        <v>6</v>
      </c>
      <c r="AB7" s="265" t="str">
        <f>IF('RINCI 2'!J14=0,"Kosong",IF('RINCI 2'!J14&lt;85,"Di Bawah Rencana",IF('RINCI 2'!J14&gt;100,"Di Atas Rencana","Sesuai Rencana")))</f>
        <v>Di Bawah Rencana</v>
      </c>
      <c r="AC7" s="265" t="s">
        <v>37</v>
      </c>
      <c r="AD7" s="265"/>
      <c r="AE7" s="318" t="s">
        <v>164</v>
      </c>
      <c r="AF7" s="318" t="s">
        <v>169</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Malahayu</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Nawangan</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Cacaban</v>
      </c>
      <c r="Y11" s="265"/>
      <c r="Z11" s="265"/>
      <c r="AA11" s="372">
        <v>10</v>
      </c>
      <c r="AB11" s="265" t="str">
        <f>IF('RINCI 2'!J18=0,"Kosong",IF('RINCI 2'!J18&lt;85,"Di Bawah Rencana",IF('RINCI 2'!J18&gt;100,"Di Atas Rencana","Sesuai Rencana")))</f>
        <v>Di Atas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Bawah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Bawah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Bawah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Atas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Di Bawah Rencana</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Sesuai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Sesuai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Kosong</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Sesuai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Sesuai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Sesuai Rencana</v>
      </c>
      <c r="AC23" s="265" t="s">
        <v>55</v>
      </c>
      <c r="AD23" s="265"/>
      <c r="AE23" s="265"/>
      <c r="AF23" s="265"/>
      <c r="AG23" s="265"/>
      <c r="AH23" s="265"/>
      <c r="AI23" s="319"/>
    </row>
    <row r="24" spans="2:35" x14ac:dyDescent="0.2">
      <c r="B24" s="828">
        <f>B25+B26</f>
        <v>1</v>
      </c>
      <c r="C24" s="829" t="s">
        <v>276</v>
      </c>
      <c r="D24" s="829"/>
      <c r="E24" s="830"/>
      <c r="F24" s="831">
        <f>'RINCI 2'!J47+'RINCI 1'!J24</f>
        <v>10</v>
      </c>
      <c r="G24" s="829" t="s">
        <v>279</v>
      </c>
      <c r="H24" s="829"/>
      <c r="I24" s="830"/>
      <c r="J24" s="831">
        <f>'RINCI 2'!J46+'RINCI 1'!J23</f>
        <v>10</v>
      </c>
      <c r="K24" s="829" t="s">
        <v>280</v>
      </c>
      <c r="L24" s="830"/>
      <c r="M24" s="830"/>
      <c r="N24" s="831">
        <f>'RINCI 1'!J22+'RINCI 2'!J45</f>
        <v>20</v>
      </c>
      <c r="O24" s="829" t="s">
        <v>281</v>
      </c>
      <c r="P24" s="829"/>
      <c r="Q24" s="830"/>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28">
        <f>'RINCI 1'!J25</f>
        <v>0</v>
      </c>
      <c r="C25" s="829" t="s">
        <v>277</v>
      </c>
      <c r="D25" s="829"/>
      <c r="E25" s="830"/>
      <c r="F25" s="831">
        <f>'RINCI 1'!J24</f>
        <v>1</v>
      </c>
      <c r="G25" s="829" t="s">
        <v>277</v>
      </c>
      <c r="H25" s="829"/>
      <c r="I25" s="830"/>
      <c r="J25" s="831">
        <f>'RINCI 1'!J23</f>
        <v>2</v>
      </c>
      <c r="K25" s="829" t="s">
        <v>277</v>
      </c>
      <c r="L25" s="830"/>
      <c r="M25" s="830"/>
      <c r="N25" s="831">
        <f>'RINCI 1'!J22</f>
        <v>6</v>
      </c>
      <c r="O25" s="829" t="s">
        <v>277</v>
      </c>
      <c r="P25" s="829"/>
      <c r="Q25" s="830"/>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28">
        <f>'RINCI 2'!J48</f>
        <v>1</v>
      </c>
      <c r="C26" s="829" t="s">
        <v>278</v>
      </c>
      <c r="D26" s="829"/>
      <c r="E26" s="830"/>
      <c r="F26" s="828">
        <f>'RINCI 2'!J47</f>
        <v>9</v>
      </c>
      <c r="G26" s="829" t="s">
        <v>278</v>
      </c>
      <c r="H26" s="829"/>
      <c r="I26" s="830"/>
      <c r="J26" s="828">
        <f>'RINCI 2'!J46</f>
        <v>8</v>
      </c>
      <c r="K26" s="829" t="s">
        <v>278</v>
      </c>
      <c r="L26" s="830"/>
      <c r="M26" s="830"/>
      <c r="N26" s="831">
        <f>'RINCI 2'!J45</f>
        <v>14</v>
      </c>
      <c r="O26" s="829" t="s">
        <v>278</v>
      </c>
      <c r="P26" s="829"/>
      <c r="Q26" s="830"/>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Sesuai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Di Atas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Di Bawah Rencana</v>
      </c>
      <c r="AC28" s="265" t="s">
        <v>60</v>
      </c>
      <c r="AD28" s="265"/>
      <c r="AE28" s="265"/>
      <c r="AF28" s="265"/>
      <c r="AG28" s="265"/>
      <c r="AH28" s="265"/>
      <c r="AI28" s="319"/>
    </row>
    <row r="29" spans="2:35" x14ac:dyDescent="0.2">
      <c r="B29" s="954" t="s">
        <v>171</v>
      </c>
      <c r="C29" s="955"/>
      <c r="D29" s="955"/>
      <c r="E29" s="955"/>
      <c r="F29" s="955" t="s">
        <v>172</v>
      </c>
      <c r="G29" s="955"/>
      <c r="H29" s="955"/>
      <c r="I29" s="955"/>
      <c r="J29" s="955" t="s">
        <v>173</v>
      </c>
      <c r="K29" s="955"/>
      <c r="L29" s="955"/>
      <c r="M29" s="955"/>
      <c r="N29" s="955" t="s">
        <v>192</v>
      </c>
      <c r="O29" s="955"/>
      <c r="P29" s="955"/>
      <c r="Q29" s="955"/>
      <c r="R29" s="322"/>
      <c r="S29" s="265"/>
      <c r="T29" s="265"/>
      <c r="U29" s="265"/>
      <c r="V29" s="265"/>
      <c r="W29" s="265"/>
      <c r="X29" s="265"/>
      <c r="Y29" s="265"/>
      <c r="Z29" s="265"/>
      <c r="AA29" s="372">
        <v>28</v>
      </c>
      <c r="AB29" s="265" t="str">
        <f>IF('RINCI 2'!J36=0,"Kosong",IF('RINCI 2'!J36&lt;85,"Di Bawah Rencana",IF('RINCI 2'!J36&gt;100,"Di Atas Rencana","Sesuai Rencana")))</f>
        <v>Sesuai Rencana</v>
      </c>
      <c r="AC29" s="265" t="s">
        <v>61</v>
      </c>
      <c r="AD29" s="265"/>
      <c r="AE29" s="265"/>
      <c r="AF29" s="265"/>
      <c r="AG29" s="265"/>
      <c r="AH29" s="265"/>
      <c r="AI29" s="319"/>
    </row>
    <row r="30" spans="2:35" x14ac:dyDescent="0.2">
      <c r="B30" s="954" t="s">
        <v>174</v>
      </c>
      <c r="C30" s="955"/>
      <c r="D30" s="955" t="s">
        <v>175</v>
      </c>
      <c r="E30" s="955"/>
      <c r="F30" s="955" t="s">
        <v>174</v>
      </c>
      <c r="G30" s="955"/>
      <c r="H30" s="955" t="s">
        <v>175</v>
      </c>
      <c r="I30" s="955"/>
      <c r="J30" s="955" t="s">
        <v>174</v>
      </c>
      <c r="K30" s="955"/>
      <c r="L30" s="955" t="s">
        <v>175</v>
      </c>
      <c r="M30" s="955"/>
      <c r="N30" s="955" t="s">
        <v>174</v>
      </c>
      <c r="O30" s="955"/>
      <c r="P30" s="955" t="s">
        <v>175</v>
      </c>
      <c r="Q30" s="955"/>
      <c r="R30" s="322"/>
      <c r="S30" s="265"/>
      <c r="T30" s="265"/>
      <c r="U30" s="265"/>
      <c r="V30" s="265"/>
      <c r="W30" s="265"/>
      <c r="X30" s="265"/>
      <c r="Y30" s="265"/>
      <c r="Z30" s="265"/>
      <c r="AA30" s="372">
        <v>29</v>
      </c>
      <c r="AB30" s="265" t="str">
        <f>IF('RINCI 2'!J37=0,"Kosong",IF('RINCI 2'!J37&lt;85,"Di Bawah Rencana",IF('RINCI 2'!J37&gt;100,"Di Atas Rencana","Sesuai Rencana")))</f>
        <v>Sesuai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Lalung</v>
      </c>
      <c r="E31" s="267"/>
      <c r="F31" s="265" t="str">
        <f t="array" ref="F31">IF(ISERROR(INDEX($T$1:$U$10,SMALL(IF($T$1:$T$10=$X$4,ROW($T$1:$T$10)),ROW(1:1)),2)),"",INDEX($T$1:$U$10,SMALL(IF($T$1:$T$10=$X$4,ROW($T$1:$T$10)),ROW(1:1)),2))</f>
        <v>Sempor</v>
      </c>
      <c r="G31" s="265"/>
      <c r="H31" s="265" t="str">
        <f t="array" ref="H31">IF(ISERROR(INDEX($AB$1:$AC$33,SMALL(IF($AB$1:$AB$33=$AF$4,ROW($AB$1:$AB$33)),ROW(1:1)),2)),"",INDEX($AB$1:$AC$33,SMALL(IF($AB$1:$AB$33=$AF$4,ROW($AB$1:$AB$33)),ROW(1:1)),2))</f>
        <v>Tempuran</v>
      </c>
      <c r="I31" s="265"/>
      <c r="J31" s="265" t="str">
        <f t="array" ref="J31">IF(ISERROR(INDEX($T$1:$U$10,SMALL(IF($T$1:$T$10=$X$7,ROW($T$1:$T$10)),ROW(1:1)),2)),"",INDEX($T$1:$U$10,SMALL(IF($T$1:$T$10=$X$7,ROW($T$1:$T$10)),ROW(1:1)),2))</f>
        <v>Malahayu</v>
      </c>
      <c r="K31" s="265"/>
      <c r="L31" s="265" t="str">
        <f t="array" ref="L31">IF(ISERROR(INDEX($AB$1:$AC$33,SMALL(IF($AB$1:$AB$33=$AF$7,ROW($AB$1:$AB$33)),ROW(1:1)),2)),"",INDEX($AB$1:$AC$33,SMALL(IF($AB$1:$AB$33=$AF$7,ROW($AB$1:$AB$33)),ROW(1:1)),2))</f>
        <v>Nawangan</v>
      </c>
      <c r="M31" s="265"/>
      <c r="N31" s="318" t="str">
        <f t="array" ref="N31">IF(ISERROR(INDEX($T$1:$U$10,SMALL(IF($T$1:$T$10=$X$10,ROW($T$1:$T$10)),ROW(1:1)),2)),"",INDEX($T$1:$U$10,SMALL(IF($T$1:$T$10=$X$10,ROW($T$1:$T$10)),ROW(1:1)),2))</f>
        <v>Cacaban</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Greneng</v>
      </c>
      <c r="I32" s="265"/>
      <c r="J32" s="265" t="str">
        <f t="array" ref="J32">IF(ISERROR(INDEX($T$1:$U$10,SMALL(IF($T$1:$T$10=$X$7,ROW($T$1:$T$10)),ROW(2:2)),2)),"",INDEX($T$1:$U$10,SMALL(IF($T$1:$T$10=$X$7,ROW($T$1:$T$10)),ROW(2:2)),2))</f>
        <v>Wonogiri</v>
      </c>
      <c r="K32" s="265"/>
      <c r="L32" s="265" t="str">
        <f t="array" ref="L32">IF(ISERROR(INDEX($AB$1:$AC$33,SMALL(IF($AB$1:$AB$33=$AF$7,ROW($AB$1:$AB$33)),ROW(2:2)),2)),"",INDEX($AB$1:$AC$33,SMALL(IF($AB$1:$AB$33=$AF$7,ROW($AB$1:$AB$33)),ROW(2:2)),2))</f>
        <v>Ngancar</v>
      </c>
      <c r="M32" s="265"/>
      <c r="N32" s="318" t="str">
        <f t="array" ref="N32">IF(ISERROR(INDEX($T$1:$U$10,SMALL(IF($T$1:$T$10=$X$10,ROW($T$1:$T$10)),ROW(2:2)),2)),"",INDEX($T$1:$U$10,SMALL(IF($T$1:$T$10=$X$10,ROW($T$1:$T$10)),ROW(2:2)),2))</f>
        <v>Rawapening</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Lodanwetan</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Delingan</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214</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Simo</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Gebyar</v>
      </c>
      <c r="M34" s="265"/>
      <c r="N34" s="318" t="str">
        <f t="array" ref="N34">IF(ISERROR(INDEX($T$1:$U$10,SMALL(IF($T$1:$T$10=$X$10,ROW($T$1:$T$10)),ROW(4:4)),2)),"",INDEX($T$1:$U$10,SMALL(IF($T$1:$T$10=$X$10,ROW($T$1:$T$10)),ROW(4:4)),2))</f>
        <v>Wadaslintang</v>
      </c>
      <c r="O34" s="265"/>
      <c r="P34" s="265" t="str">
        <f t="array" ref="P34">IF(ISERROR(INDEX($AB$1:$AC$33,SMALL(IF($AB$1:$AB$33=$AF$10,ROW($AB$1:$AB$33)),ROW(4:4)),2)),"",INDEX($AB$1:$AC$33,SMALL(IF($AB$1:$AB$33=$AF$10,ROW($AB$1:$AB$33)),ROW(4:4)),2))</f>
        <v>Banyukuwung</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Krisak</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Kembangan</v>
      </c>
      <c r="M35" s="265"/>
      <c r="N35" s="318" t="str">
        <f t="array" ref="N35">IF(ISERROR(INDEX($T$1:$U$10,SMALL(IF($T$1:$T$10=$X$10,ROW($T$1:$T$10)),ROW(5:5)),2)),"",INDEX($T$1:$U$10,SMALL(IF($T$1:$T$10=$X$10,ROW($T$1:$T$10)),ROW(5:5)),2))</f>
        <v>Sudirman</v>
      </c>
      <c r="O35" s="265"/>
      <c r="P35" s="265" t="str">
        <f t="array" ref="P35">IF(ISERROR(INDEX($AB$1:$AC$33,SMALL(IF($AB$1:$AB$33=$AF$10,ROW($AB$1:$AB$33)),ROW(5:5)),2)),"",INDEX($AB$1:$AC$33,SMALL(IF($AB$1:$AB$33=$AF$10,ROW($AB$1:$AB$33)),ROW(5:5)),2))</f>
        <v>Nglangon</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Plumbon</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Blimbing</v>
      </c>
      <c r="M36" s="265"/>
      <c r="N36" s="318" t="str">
        <f t="array" ref="N36">IF(ISERROR(INDEX($T$1:$U$10,SMALL(IF($T$1:$T$10=$X$10,ROW($T$1:$T$10)),ROW(6:6)),2)),"",INDEX($T$1:$U$10,SMALL(IF($T$1:$T$10=$X$10,ROW($T$1:$T$10)),ROW(6:6)),2))</f>
        <v>Jatibarang</v>
      </c>
      <c r="O36" s="265"/>
      <c r="P36" s="265" t="str">
        <f t="array" ref="P36">IF(ISERROR(INDEX($AB$1:$AC$33,SMALL(IF($AB$1:$AB$33=$AF$10,ROW($AB$1:$AB$33)),ROW(6:6)),2)),"",INDEX($AB$1:$AC$33,SMALL(IF($AB$1:$AB$33=$AF$10,ROW($AB$1:$AB$33)),ROW(6:6)),2))</f>
        <v>Butak</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Songputri</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Klego</v>
      </c>
      <c r="M37" s="265"/>
      <c r="N37" s="318" t="str">
        <f t="array" ref="N37">IF(ISERROR(INDEX($T$1:$U$10,SMALL(IF($T$1:$T$10=$X$10,ROW($T$1:$T$10)),ROW(7:7)),2)),"",INDEX($T$1:$U$10,SMALL(IF($T$1:$T$10=$X$10,ROW($T$1:$T$10)),ROW(7:7)),2))</f>
        <v/>
      </c>
      <c r="O37" s="265"/>
      <c r="P37" s="265" t="str">
        <f t="array" ref="P37">IF(ISERROR(INDEX($AB$1:$AC$33,SMALL(IF($AB$1:$AB$33=$AF$10,ROW($AB$1:$AB$33)),ROW(7:7)),2)),"",INDEX($AB$1:$AC$33,SMALL(IF($AB$1:$AB$33=$AF$10,ROW($AB$1:$AB$33)),ROW(7:7)),2))</f>
        <v>Sanggeh</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Kedunguling</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Jombor</v>
      </c>
      <c r="M38" s="265"/>
      <c r="N38" s="318" t="str">
        <f t="array" ref="N38">IF(ISERROR(INDEX($T$1:$U$10,SMALL(IF($T$1:$T$10=$X$10,ROW($T$1:$T$10)),ROW(8:8)),2)),"",INDEX($T$1:$U$10,SMALL(IF($T$1:$T$10=$X$10,ROW($T$1:$T$10)),ROW(8:8)),2))</f>
        <v/>
      </c>
      <c r="O38" s="265"/>
      <c r="P38" s="265" t="str">
        <f t="array" ref="P38">IF(ISERROR(INDEX($AB$1:$AC$33,SMALL(IF($AB$1:$AB$33=$AF$10,ROW($AB$1:$AB$33)),ROW(8:8)),2)),"",INDEX($AB$1:$AC$33,SMALL(IF($AB$1:$AB$33=$AF$10,ROW($AB$1:$AB$33)),ROW(8:8)),2))</f>
        <v>Parangjoho</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Cengklik</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Botok</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Ketro</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Brambang</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Mulur</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Grawan</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Panohan</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abSelected="1" zoomScale="90" zoomScaleNormal="90" workbookViewId="0">
      <selection activeCell="N27" sqref="N27"/>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7"/>
      <c r="C12" s="618"/>
      <c r="D12" s="618"/>
      <c r="E12" s="618"/>
      <c r="F12" s="618"/>
      <c r="G12" s="618"/>
      <c r="H12" s="618"/>
      <c r="I12" s="618"/>
      <c r="J12" s="619"/>
    </row>
    <row r="13" spans="2:10" ht="14.25" customHeight="1" x14ac:dyDescent="0.4">
      <c r="B13" s="617"/>
      <c r="C13" s="618"/>
      <c r="D13" s="618"/>
      <c r="E13" s="618"/>
      <c r="F13" s="618"/>
      <c r="G13" s="618"/>
      <c r="H13" s="618"/>
      <c r="I13" s="618"/>
      <c r="J13" s="619"/>
    </row>
    <row r="14" spans="2:10" ht="15.75" customHeight="1" x14ac:dyDescent="0.4">
      <c r="B14" s="617"/>
      <c r="C14" s="618"/>
      <c r="D14" s="618"/>
      <c r="E14" s="618"/>
      <c r="F14" s="618"/>
      <c r="G14" s="618"/>
      <c r="H14" s="618"/>
      <c r="I14" s="618"/>
      <c r="J14" s="619"/>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59"/>
      <c r="C37" s="960"/>
      <c r="D37" s="960"/>
      <c r="E37" s="960"/>
      <c r="F37" s="960"/>
      <c r="G37" s="960"/>
      <c r="H37" s="960"/>
      <c r="I37" s="960"/>
      <c r="J37" s="961"/>
    </row>
    <row r="38" spans="2:10" x14ac:dyDescent="0.2">
      <c r="B38" s="271"/>
      <c r="C38" s="272"/>
      <c r="D38" s="272"/>
      <c r="E38" s="272"/>
      <c r="F38" s="272"/>
      <c r="G38" s="274"/>
      <c r="H38" s="274"/>
      <c r="I38" s="274"/>
      <c r="J38" s="273"/>
    </row>
    <row r="39" spans="2:10" ht="20.25" x14ac:dyDescent="0.3">
      <c r="B39" s="959" t="s">
        <v>339</v>
      </c>
      <c r="C39" s="960"/>
      <c r="D39" s="960"/>
      <c r="E39" s="960"/>
      <c r="F39" s="960"/>
      <c r="G39" s="960"/>
      <c r="H39" s="960"/>
      <c r="I39" s="960"/>
      <c r="J39" s="961"/>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56" t="s">
        <v>296</v>
      </c>
      <c r="C43" s="957"/>
      <c r="D43" s="957"/>
      <c r="E43" s="957"/>
      <c r="F43" s="957"/>
      <c r="G43" s="957"/>
      <c r="H43" s="957"/>
      <c r="I43" s="957"/>
      <c r="J43" s="958"/>
    </row>
    <row r="44" spans="2:10" ht="26.25" x14ac:dyDescent="0.4">
      <c r="B44" s="956" t="s">
        <v>297</v>
      </c>
      <c r="C44" s="957"/>
      <c r="D44" s="957"/>
      <c r="E44" s="957"/>
      <c r="F44" s="957"/>
      <c r="G44" s="957"/>
      <c r="H44" s="957"/>
      <c r="I44" s="957"/>
      <c r="J44" s="958"/>
    </row>
    <row r="45" spans="2:10" ht="26.25" x14ac:dyDescent="0.4">
      <c r="B45" s="956" t="s">
        <v>178</v>
      </c>
      <c r="C45" s="957"/>
      <c r="D45" s="957"/>
      <c r="E45" s="957"/>
      <c r="F45" s="957"/>
      <c r="G45" s="957"/>
      <c r="H45" s="957"/>
      <c r="I45" s="957"/>
      <c r="J45" s="958"/>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219</v>
      </c>
      <c r="C1" s="387"/>
      <c r="D1" s="398"/>
      <c r="E1" s="398"/>
    </row>
    <row r="2" spans="2:5" x14ac:dyDescent="0.2">
      <c r="B2" s="386" t="s">
        <v>220</v>
      </c>
      <c r="C2" s="387"/>
      <c r="D2" s="398"/>
      <c r="E2" s="398"/>
    </row>
    <row r="3" spans="2:5" x14ac:dyDescent="0.2">
      <c r="B3" s="388"/>
      <c r="C3" s="388"/>
      <c r="D3" s="399"/>
      <c r="E3" s="399"/>
    </row>
    <row r="4" spans="2:5" ht="38.25" x14ac:dyDescent="0.2">
      <c r="B4" s="389" t="s">
        <v>221</v>
      </c>
      <c r="C4" s="388"/>
      <c r="D4" s="399"/>
      <c r="E4" s="399"/>
    </row>
    <row r="5" spans="2:5" x14ac:dyDescent="0.2">
      <c r="B5" s="388"/>
      <c r="C5" s="388"/>
      <c r="D5" s="399"/>
      <c r="E5" s="399"/>
    </row>
    <row r="6" spans="2:5" ht="25.5" x14ac:dyDescent="0.2">
      <c r="B6" s="386" t="s">
        <v>222</v>
      </c>
      <c r="C6" s="387"/>
      <c r="D6" s="398"/>
      <c r="E6" s="400" t="s">
        <v>223</v>
      </c>
    </row>
    <row r="7" spans="2:5" ht="13.5" thickBot="1" x14ac:dyDescent="0.25">
      <c r="B7" s="388"/>
      <c r="C7" s="388"/>
      <c r="D7" s="399"/>
      <c r="E7" s="399"/>
    </row>
    <row r="8" spans="2:5" ht="38.25" x14ac:dyDescent="0.2">
      <c r="B8" s="390" t="s">
        <v>224</v>
      </c>
      <c r="C8" s="391"/>
      <c r="D8" s="401"/>
      <c r="E8" s="402">
        <v>52</v>
      </c>
    </row>
    <row r="9" spans="2:5" x14ac:dyDescent="0.2">
      <c r="B9" s="392"/>
      <c r="C9" s="388"/>
      <c r="D9" s="399"/>
      <c r="E9" s="403" t="s">
        <v>225</v>
      </c>
    </row>
    <row r="10" spans="2:5" x14ac:dyDescent="0.2">
      <c r="B10" s="392"/>
      <c r="C10" s="388"/>
      <c r="D10" s="399"/>
      <c r="E10" s="403" t="s">
        <v>226</v>
      </c>
    </row>
    <row r="11" spans="2:5" x14ac:dyDescent="0.2">
      <c r="B11" s="392"/>
      <c r="C11" s="388"/>
      <c r="D11" s="399"/>
      <c r="E11" s="403" t="s">
        <v>227</v>
      </c>
    </row>
    <row r="12" spans="2:5" x14ac:dyDescent="0.2">
      <c r="B12" s="392"/>
      <c r="C12" s="388"/>
      <c r="D12" s="399"/>
      <c r="E12" s="403" t="s">
        <v>228</v>
      </c>
    </row>
    <row r="13" spans="2:5" x14ac:dyDescent="0.2">
      <c r="B13" s="392"/>
      <c r="C13" s="388"/>
      <c r="D13" s="399"/>
      <c r="E13" s="403" t="s">
        <v>229</v>
      </c>
    </row>
    <row r="14" spans="2:5" x14ac:dyDescent="0.2">
      <c r="B14" s="392"/>
      <c r="C14" s="388"/>
      <c r="D14" s="399"/>
      <c r="E14" s="403" t="s">
        <v>230</v>
      </c>
    </row>
    <row r="15" spans="2:5" x14ac:dyDescent="0.2">
      <c r="B15" s="392"/>
      <c r="C15" s="388"/>
      <c r="D15" s="399"/>
      <c r="E15" s="403" t="s">
        <v>231</v>
      </c>
    </row>
    <row r="16" spans="2:5" x14ac:dyDescent="0.2">
      <c r="B16" s="392"/>
      <c r="C16" s="388"/>
      <c r="D16" s="399"/>
      <c r="E16" s="403" t="s">
        <v>232</v>
      </c>
    </row>
    <row r="17" spans="2:5" x14ac:dyDescent="0.2">
      <c r="B17" s="392"/>
      <c r="C17" s="388"/>
      <c r="D17" s="399"/>
      <c r="E17" s="403" t="s">
        <v>233</v>
      </c>
    </row>
    <row r="18" spans="2:5" x14ac:dyDescent="0.2">
      <c r="B18" s="392"/>
      <c r="C18" s="388"/>
      <c r="D18" s="399"/>
      <c r="E18" s="403" t="s">
        <v>234</v>
      </c>
    </row>
    <row r="19" spans="2:5" ht="13.5" thickBot="1" x14ac:dyDescent="0.25">
      <c r="B19" s="393"/>
      <c r="C19" s="394"/>
      <c r="D19" s="404"/>
      <c r="E19" s="405" t="s">
        <v>235</v>
      </c>
    </row>
    <row r="20" spans="2:5" ht="13.5" thickBot="1" x14ac:dyDescent="0.25">
      <c r="B20" s="388"/>
      <c r="C20" s="388"/>
      <c r="D20" s="399"/>
      <c r="E20" s="399"/>
    </row>
    <row r="21" spans="2:5" ht="38.25" x14ac:dyDescent="0.2">
      <c r="B21" s="395" t="s">
        <v>236</v>
      </c>
      <c r="C21" s="391"/>
      <c r="D21" s="401"/>
      <c r="E21" s="402">
        <v>2</v>
      </c>
    </row>
    <row r="22" spans="2:5" x14ac:dyDescent="0.2">
      <c r="B22" s="392"/>
      <c r="C22" s="388"/>
      <c r="D22" s="399"/>
      <c r="E22" s="406" t="s">
        <v>232</v>
      </c>
    </row>
    <row r="23" spans="2:5" ht="13.5" thickBot="1" x14ac:dyDescent="0.25">
      <c r="B23" s="393"/>
      <c r="C23" s="394"/>
      <c r="D23" s="404"/>
      <c r="E23" s="407" t="s">
        <v>234</v>
      </c>
    </row>
    <row r="24" spans="2:5" ht="13.5" thickBot="1" x14ac:dyDescent="0.25">
      <c r="B24" s="388"/>
      <c r="C24" s="388"/>
      <c r="D24" s="399"/>
      <c r="E24" s="399"/>
    </row>
    <row r="25" spans="2:5" ht="38.25" x14ac:dyDescent="0.2">
      <c r="B25" s="395" t="s">
        <v>237</v>
      </c>
      <c r="C25" s="391"/>
      <c r="D25" s="401"/>
      <c r="E25" s="402">
        <v>8</v>
      </c>
    </row>
    <row r="26" spans="2:5" x14ac:dyDescent="0.2">
      <c r="B26" s="392"/>
      <c r="C26" s="388"/>
      <c r="D26" s="399"/>
      <c r="E26" s="406" t="s">
        <v>232</v>
      </c>
    </row>
    <row r="27" spans="2:5" ht="13.5" thickBot="1" x14ac:dyDescent="0.25">
      <c r="B27" s="393"/>
      <c r="C27" s="394"/>
      <c r="D27" s="404"/>
      <c r="E27" s="407" t="s">
        <v>234</v>
      </c>
    </row>
    <row r="28" spans="2:5" ht="13.5" thickBot="1" x14ac:dyDescent="0.25">
      <c r="B28" s="388"/>
      <c r="C28" s="388"/>
      <c r="D28" s="399"/>
      <c r="E28" s="399"/>
    </row>
    <row r="29" spans="2:5" ht="51" x14ac:dyDescent="0.2">
      <c r="B29" s="395" t="s">
        <v>238</v>
      </c>
      <c r="C29" s="391"/>
      <c r="D29" s="401"/>
      <c r="E29" s="402">
        <v>10</v>
      </c>
    </row>
    <row r="30" spans="2:5" ht="25.5" x14ac:dyDescent="0.2">
      <c r="B30" s="392"/>
      <c r="C30" s="388"/>
      <c r="D30" s="399"/>
      <c r="E30" s="406" t="s">
        <v>239</v>
      </c>
    </row>
    <row r="31" spans="2:5" ht="25.5" x14ac:dyDescent="0.2">
      <c r="B31" s="392"/>
      <c r="C31" s="388"/>
      <c r="D31" s="399"/>
      <c r="E31" s="408" t="s">
        <v>240</v>
      </c>
    </row>
    <row r="32" spans="2:5" ht="25.5" x14ac:dyDescent="0.2">
      <c r="B32" s="392"/>
      <c r="C32" s="388"/>
      <c r="D32" s="399"/>
      <c r="E32" s="408" t="s">
        <v>241</v>
      </c>
    </row>
    <row r="33" spans="2:5" ht="25.5" x14ac:dyDescent="0.2">
      <c r="B33" s="392"/>
      <c r="C33" s="388"/>
      <c r="D33" s="399"/>
      <c r="E33" s="408" t="s">
        <v>242</v>
      </c>
    </row>
    <row r="34" spans="2:5" x14ac:dyDescent="0.2">
      <c r="B34" s="392"/>
      <c r="C34" s="388"/>
      <c r="D34" s="399"/>
      <c r="E34" s="408" t="s">
        <v>243</v>
      </c>
    </row>
    <row r="35" spans="2:5" ht="25.5" x14ac:dyDescent="0.2">
      <c r="B35" s="392"/>
      <c r="C35" s="388"/>
      <c r="D35" s="399"/>
      <c r="E35" s="408" t="s">
        <v>244</v>
      </c>
    </row>
    <row r="36" spans="2:5" ht="38.25" x14ac:dyDescent="0.2">
      <c r="B36" s="392"/>
      <c r="C36" s="388"/>
      <c r="D36" s="399"/>
      <c r="E36" s="408" t="s">
        <v>245</v>
      </c>
    </row>
    <row r="37" spans="2:5" ht="25.5" x14ac:dyDescent="0.2">
      <c r="B37" s="392"/>
      <c r="C37" s="388"/>
      <c r="D37" s="399"/>
      <c r="E37" s="408" t="s">
        <v>246</v>
      </c>
    </row>
    <row r="38" spans="2:5" ht="25.5" x14ac:dyDescent="0.2">
      <c r="B38" s="392"/>
      <c r="C38" s="388"/>
      <c r="D38" s="399"/>
      <c r="E38" s="408" t="s">
        <v>247</v>
      </c>
    </row>
    <row r="39" spans="2:5" ht="26.25" thickBot="1" x14ac:dyDescent="0.25">
      <c r="B39" s="393"/>
      <c r="C39" s="394"/>
      <c r="D39" s="404"/>
      <c r="E39" s="407" t="s">
        <v>248</v>
      </c>
    </row>
    <row r="40" spans="2:5" x14ac:dyDescent="0.2">
      <c r="B40" s="388"/>
      <c r="C40" s="388"/>
      <c r="D40" s="399"/>
      <c r="E40" s="399"/>
    </row>
    <row r="41" spans="2:5" x14ac:dyDescent="0.2">
      <c r="B41" s="388"/>
      <c r="C41" s="388"/>
      <c r="D41" s="399"/>
      <c r="E41" s="399"/>
    </row>
    <row r="42" spans="2:5" x14ac:dyDescent="0.2">
      <c r="B42" s="387" t="s">
        <v>249</v>
      </c>
      <c r="C42" s="387"/>
      <c r="D42" s="398"/>
      <c r="E42" s="398"/>
    </row>
    <row r="43" spans="2:5" ht="13.5" thickBot="1" x14ac:dyDescent="0.25">
      <c r="B43" s="388"/>
      <c r="C43" s="388"/>
      <c r="D43" s="399"/>
      <c r="E43" s="399"/>
    </row>
    <row r="44" spans="2:5" ht="51" x14ac:dyDescent="0.2">
      <c r="B44" s="395" t="s">
        <v>250</v>
      </c>
      <c r="C44" s="391"/>
      <c r="D44" s="401"/>
      <c r="E44" s="402">
        <v>1</v>
      </c>
    </row>
    <row r="45" spans="2:5" ht="13.5" thickBot="1" x14ac:dyDescent="0.25">
      <c r="B45" s="393"/>
      <c r="C45" s="394"/>
      <c r="D45" s="404"/>
      <c r="E45" s="409" t="s">
        <v>251</v>
      </c>
    </row>
    <row r="46" spans="2:5" ht="13.5" thickBot="1" x14ac:dyDescent="0.25">
      <c r="B46" s="388"/>
      <c r="C46" s="388"/>
      <c r="D46" s="399"/>
      <c r="E46" s="399"/>
    </row>
    <row r="47" spans="2:5" ht="39" thickBot="1" x14ac:dyDescent="0.25">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69" t="s">
        <v>286</v>
      </c>
      <c r="C2" s="869"/>
      <c r="D2" s="869"/>
      <c r="E2" s="869"/>
      <c r="F2" s="869"/>
      <c r="G2" s="869"/>
      <c r="H2" s="869"/>
      <c r="I2" s="869"/>
      <c r="J2" s="869"/>
      <c r="K2" s="869"/>
    </row>
    <row r="3" spans="2:12" ht="13.5" thickBot="1" x14ac:dyDescent="0.25"/>
    <row r="4" spans="2:12" ht="15.75" x14ac:dyDescent="0.25">
      <c r="B4" s="153" t="s">
        <v>1</v>
      </c>
      <c r="C4" s="154" t="s">
        <v>128</v>
      </c>
      <c r="D4" s="154" t="s">
        <v>130</v>
      </c>
      <c r="E4" s="154" t="s">
        <v>150</v>
      </c>
      <c r="F4" s="155" t="s">
        <v>154</v>
      </c>
      <c r="G4" s="155" t="s">
        <v>210</v>
      </c>
      <c r="H4" s="155" t="s">
        <v>267</v>
      </c>
      <c r="I4" s="155" t="s">
        <v>268</v>
      </c>
      <c r="J4" s="155" t="s">
        <v>269</v>
      </c>
      <c r="K4" s="503" t="s">
        <v>284</v>
      </c>
      <c r="L4" s="503" t="s">
        <v>298</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62" t="s">
        <v>333</v>
      </c>
      <c r="C1" s="962"/>
      <c r="D1" s="962"/>
      <c r="E1" s="962"/>
      <c r="F1" s="962"/>
      <c r="G1" s="962"/>
      <c r="H1" s="962"/>
      <c r="I1" s="962"/>
      <c r="J1" s="962"/>
      <c r="K1" s="962"/>
      <c r="L1" s="962"/>
      <c r="M1" s="962"/>
      <c r="N1" s="962"/>
      <c r="O1" s="962"/>
    </row>
    <row r="3" spans="2:15" ht="38.25" customHeight="1" x14ac:dyDescent="0.2">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x14ac:dyDescent="0.2">
      <c r="B4" s="458">
        <v>1</v>
      </c>
      <c r="C4" s="462" t="s">
        <v>300</v>
      </c>
      <c r="D4" s="458"/>
      <c r="E4" s="458"/>
      <c r="F4" s="458"/>
      <c r="G4" s="458"/>
      <c r="H4" s="458"/>
      <c r="I4" s="458"/>
      <c r="J4" s="459"/>
      <c r="K4" s="459"/>
      <c r="L4" s="459"/>
      <c r="M4" s="459"/>
      <c r="N4" s="459"/>
      <c r="O4" s="459"/>
    </row>
    <row r="5" spans="2:15" ht="26.25" customHeight="1" x14ac:dyDescent="0.2">
      <c r="B5" s="458">
        <f>B4+1</f>
        <v>2</v>
      </c>
      <c r="C5" s="462" t="s">
        <v>301</v>
      </c>
      <c r="D5" s="458"/>
      <c r="E5" s="458"/>
      <c r="F5" s="458"/>
      <c r="G5" s="458"/>
      <c r="H5" s="458"/>
      <c r="I5" s="458"/>
      <c r="J5" s="459"/>
      <c r="K5" s="459"/>
      <c r="L5" s="459"/>
      <c r="M5" s="459"/>
      <c r="N5" s="459"/>
      <c r="O5" s="459"/>
    </row>
    <row r="6" spans="2:15" ht="24" customHeight="1" x14ac:dyDescent="0.2">
      <c r="B6" s="458">
        <f t="shared" ref="B6:B35" si="0">B5+1</f>
        <v>3</v>
      </c>
      <c r="C6" s="462" t="s">
        <v>302</v>
      </c>
      <c r="D6" s="458"/>
      <c r="E6" s="458"/>
      <c r="F6" s="458"/>
      <c r="G6" s="458"/>
      <c r="H6" s="458"/>
      <c r="I6" s="458"/>
      <c r="J6" s="459"/>
      <c r="K6" s="459"/>
      <c r="L6" s="459"/>
      <c r="M6" s="459"/>
      <c r="N6" s="459"/>
      <c r="O6" s="459"/>
    </row>
    <row r="7" spans="2:15" ht="24" customHeight="1" x14ac:dyDescent="0.2">
      <c r="B7" s="458">
        <f t="shared" si="0"/>
        <v>4</v>
      </c>
      <c r="C7" s="462" t="s">
        <v>303</v>
      </c>
      <c r="D7" s="458"/>
      <c r="E7" s="458"/>
      <c r="F7" s="458"/>
      <c r="G7" s="458"/>
      <c r="H7" s="458"/>
      <c r="I7" s="458"/>
      <c r="J7" s="459"/>
      <c r="K7" s="459"/>
      <c r="L7" s="459"/>
      <c r="M7" s="459"/>
      <c r="N7" s="459"/>
      <c r="O7" s="459"/>
    </row>
    <row r="8" spans="2:15" ht="27" customHeight="1" x14ac:dyDescent="0.2">
      <c r="B8" s="458">
        <f t="shared" si="0"/>
        <v>5</v>
      </c>
      <c r="C8" s="462" t="s">
        <v>304</v>
      </c>
      <c r="D8" s="458"/>
      <c r="E8" s="458"/>
      <c r="F8" s="458"/>
      <c r="G8" s="458"/>
      <c r="H8" s="458"/>
      <c r="I8" s="458"/>
      <c r="J8" s="459"/>
      <c r="K8" s="459"/>
      <c r="L8" s="459"/>
      <c r="M8" s="459"/>
      <c r="N8" s="459"/>
      <c r="O8" s="459"/>
    </row>
    <row r="9" spans="2:15" ht="24" customHeight="1" x14ac:dyDescent="0.2">
      <c r="B9" s="458">
        <f t="shared" si="0"/>
        <v>6</v>
      </c>
      <c r="C9" s="462" t="s">
        <v>305</v>
      </c>
      <c r="D9" s="458"/>
      <c r="E9" s="458"/>
      <c r="F9" s="458"/>
      <c r="G9" s="458"/>
      <c r="H9" s="458"/>
      <c r="I9" s="458"/>
      <c r="J9" s="459"/>
      <c r="K9" s="459"/>
      <c r="L9" s="459"/>
      <c r="M9" s="459"/>
      <c r="N9" s="459"/>
      <c r="O9" s="459"/>
    </row>
    <row r="10" spans="2:15" ht="23.25" customHeight="1" x14ac:dyDescent="0.2">
      <c r="B10" s="458">
        <f t="shared" si="0"/>
        <v>7</v>
      </c>
      <c r="C10" s="462" t="s">
        <v>306</v>
      </c>
      <c r="D10" s="459"/>
      <c r="E10" s="459"/>
      <c r="F10" s="459"/>
      <c r="G10" s="459"/>
      <c r="H10" s="459"/>
      <c r="I10" s="459"/>
      <c r="J10" s="459"/>
      <c r="K10" s="459"/>
      <c r="L10" s="459"/>
      <c r="M10" s="459"/>
      <c r="N10" s="459"/>
      <c r="O10" s="459"/>
    </row>
    <row r="11" spans="2:15" ht="26.25" customHeight="1" x14ac:dyDescent="0.2">
      <c r="B11" s="458">
        <f t="shared" si="0"/>
        <v>8</v>
      </c>
      <c r="C11" s="462" t="s">
        <v>307</v>
      </c>
      <c r="D11" s="459"/>
      <c r="E11" s="459"/>
      <c r="F11" s="459"/>
      <c r="G11" s="459"/>
      <c r="H11" s="459"/>
      <c r="I11" s="459"/>
      <c r="J11" s="459"/>
      <c r="K11" s="459"/>
      <c r="L11" s="459"/>
      <c r="M11" s="459"/>
      <c r="N11" s="459"/>
      <c r="O11" s="459"/>
    </row>
    <row r="12" spans="2:15" ht="24.75" customHeight="1" x14ac:dyDescent="0.2">
      <c r="B12" s="458">
        <f t="shared" si="0"/>
        <v>9</v>
      </c>
      <c r="C12" s="462" t="s">
        <v>308</v>
      </c>
      <c r="D12" s="459"/>
      <c r="E12" s="459"/>
      <c r="F12" s="459"/>
      <c r="G12" s="459"/>
      <c r="H12" s="459"/>
      <c r="I12" s="459"/>
      <c r="J12" s="459"/>
      <c r="K12" s="459"/>
      <c r="L12" s="459"/>
      <c r="M12" s="459"/>
      <c r="N12" s="459"/>
      <c r="O12" s="459"/>
    </row>
    <row r="13" spans="2:15" ht="24" customHeight="1" x14ac:dyDescent="0.2">
      <c r="B13" s="458">
        <f t="shared" si="0"/>
        <v>10</v>
      </c>
      <c r="C13" s="462" t="s">
        <v>309</v>
      </c>
      <c r="D13" s="459"/>
      <c r="E13" s="459"/>
      <c r="F13" s="459"/>
      <c r="G13" s="459"/>
      <c r="H13" s="459"/>
      <c r="I13" s="459"/>
      <c r="J13" s="459"/>
      <c r="K13" s="459"/>
      <c r="L13" s="459"/>
      <c r="M13" s="459"/>
      <c r="N13" s="459"/>
      <c r="O13" s="459"/>
    </row>
    <row r="14" spans="2:15" ht="25.5" customHeight="1" x14ac:dyDescent="0.2">
      <c r="B14" s="458">
        <f t="shared" si="0"/>
        <v>11</v>
      </c>
      <c r="C14" s="462" t="s">
        <v>310</v>
      </c>
      <c r="D14" s="459"/>
      <c r="E14" s="459"/>
      <c r="F14" s="459"/>
      <c r="G14" s="459"/>
      <c r="H14" s="459"/>
      <c r="I14" s="459"/>
      <c r="J14" s="459"/>
      <c r="K14" s="459"/>
      <c r="L14" s="459"/>
      <c r="M14" s="459"/>
      <c r="N14" s="459"/>
      <c r="O14" s="459"/>
    </row>
    <row r="15" spans="2:15" ht="25.5" customHeight="1" x14ac:dyDescent="0.2">
      <c r="B15" s="458">
        <f t="shared" si="0"/>
        <v>12</v>
      </c>
      <c r="C15" s="769" t="s">
        <v>311</v>
      </c>
      <c r="D15" s="459"/>
      <c r="E15" s="459"/>
      <c r="F15" s="459"/>
      <c r="G15" s="459"/>
      <c r="H15" s="459"/>
      <c r="I15" s="459"/>
      <c r="J15" s="459"/>
      <c r="K15" s="459"/>
      <c r="L15" s="459"/>
      <c r="M15" s="459"/>
      <c r="N15" s="459"/>
      <c r="O15" s="459"/>
    </row>
    <row r="16" spans="2:15" ht="24.75" customHeight="1" x14ac:dyDescent="0.2">
      <c r="B16" s="458">
        <f t="shared" si="0"/>
        <v>13</v>
      </c>
      <c r="C16" s="769" t="s">
        <v>312</v>
      </c>
      <c r="D16" s="459"/>
      <c r="E16" s="459"/>
      <c r="F16" s="459"/>
      <c r="G16" s="459"/>
      <c r="H16" s="459"/>
      <c r="I16" s="459"/>
      <c r="J16" s="459"/>
      <c r="K16" s="459"/>
      <c r="L16" s="459"/>
      <c r="M16" s="459"/>
      <c r="N16" s="459"/>
      <c r="O16" s="459"/>
    </row>
    <row r="17" spans="2:15" ht="24.75" customHeight="1" x14ac:dyDescent="0.2">
      <c r="B17" s="458">
        <f t="shared" si="0"/>
        <v>14</v>
      </c>
      <c r="C17" s="769" t="s">
        <v>313</v>
      </c>
      <c r="D17" s="459"/>
      <c r="E17" s="459"/>
      <c r="F17" s="459"/>
      <c r="G17" s="459"/>
      <c r="H17" s="459"/>
      <c r="I17" s="459"/>
      <c r="J17" s="459"/>
      <c r="K17" s="459"/>
      <c r="L17" s="459"/>
      <c r="M17" s="459"/>
      <c r="N17" s="459"/>
      <c r="O17" s="459"/>
    </row>
    <row r="18" spans="2:15" ht="24" customHeight="1" x14ac:dyDescent="0.2">
      <c r="B18" s="458">
        <f t="shared" si="0"/>
        <v>15</v>
      </c>
      <c r="C18" s="769" t="s">
        <v>314</v>
      </c>
      <c r="D18" s="459"/>
      <c r="E18" s="459"/>
      <c r="F18" s="459"/>
      <c r="G18" s="459"/>
      <c r="H18" s="459"/>
      <c r="I18" s="459"/>
      <c r="J18" s="459"/>
      <c r="K18" s="459"/>
      <c r="L18" s="459"/>
      <c r="M18" s="459"/>
      <c r="N18" s="459"/>
      <c r="O18" s="459"/>
    </row>
    <row r="19" spans="2:15" ht="26.25" customHeight="1" x14ac:dyDescent="0.2">
      <c r="B19" s="458">
        <f t="shared" si="0"/>
        <v>16</v>
      </c>
      <c r="C19" s="769" t="s">
        <v>315</v>
      </c>
      <c r="D19" s="459"/>
      <c r="E19" s="459"/>
      <c r="F19" s="459"/>
      <c r="G19" s="459"/>
      <c r="H19" s="459"/>
      <c r="I19" s="459"/>
      <c r="J19" s="459"/>
      <c r="K19" s="459"/>
      <c r="L19" s="459"/>
      <c r="M19" s="459"/>
      <c r="N19" s="459"/>
      <c r="O19" s="459"/>
    </row>
    <row r="20" spans="2:15" ht="24" customHeight="1" x14ac:dyDescent="0.2">
      <c r="B20" s="458">
        <f t="shared" si="0"/>
        <v>17</v>
      </c>
      <c r="C20" s="769" t="s">
        <v>316</v>
      </c>
      <c r="D20" s="459"/>
      <c r="E20" s="459"/>
      <c r="F20" s="459"/>
      <c r="G20" s="459"/>
      <c r="H20" s="459"/>
      <c r="I20" s="459"/>
      <c r="J20" s="459"/>
      <c r="K20" s="459"/>
      <c r="L20" s="459"/>
      <c r="M20" s="459"/>
      <c r="N20" s="459"/>
      <c r="O20" s="459"/>
    </row>
    <row r="21" spans="2:15" ht="24" customHeight="1" x14ac:dyDescent="0.2">
      <c r="B21" s="458">
        <f t="shared" si="0"/>
        <v>18</v>
      </c>
      <c r="C21" s="769" t="s">
        <v>317</v>
      </c>
      <c r="D21" s="459"/>
      <c r="E21" s="459"/>
      <c r="F21" s="459"/>
      <c r="G21" s="459"/>
      <c r="H21" s="459"/>
      <c r="I21" s="459"/>
      <c r="J21" s="459"/>
      <c r="K21" s="459"/>
      <c r="L21" s="459"/>
      <c r="M21" s="459"/>
      <c r="N21" s="459"/>
      <c r="O21" s="459"/>
    </row>
    <row r="22" spans="2:15" ht="24" customHeight="1" x14ac:dyDescent="0.2">
      <c r="B22" s="458">
        <f t="shared" si="0"/>
        <v>19</v>
      </c>
      <c r="C22" s="769" t="s">
        <v>318</v>
      </c>
      <c r="D22" s="459"/>
      <c r="E22" s="459"/>
      <c r="F22" s="459"/>
      <c r="G22" s="459"/>
      <c r="H22" s="459"/>
      <c r="I22" s="459"/>
      <c r="J22" s="459"/>
      <c r="K22" s="459"/>
      <c r="L22" s="459"/>
      <c r="M22" s="459"/>
      <c r="N22" s="459"/>
      <c r="O22" s="459"/>
    </row>
    <row r="23" spans="2:15" ht="25.5" customHeight="1" x14ac:dyDescent="0.2">
      <c r="B23" s="458">
        <f t="shared" si="0"/>
        <v>20</v>
      </c>
      <c r="C23" s="769" t="s">
        <v>319</v>
      </c>
      <c r="D23" s="459"/>
      <c r="E23" s="459"/>
      <c r="F23" s="459"/>
      <c r="G23" s="459"/>
      <c r="H23" s="459"/>
      <c r="I23" s="459"/>
      <c r="J23" s="459"/>
      <c r="K23" s="459"/>
      <c r="L23" s="459"/>
      <c r="M23" s="459"/>
      <c r="N23" s="459"/>
      <c r="O23" s="459"/>
    </row>
    <row r="24" spans="2:15" ht="24.75" customHeight="1" x14ac:dyDescent="0.2">
      <c r="B24" s="458">
        <f t="shared" si="0"/>
        <v>21</v>
      </c>
      <c r="C24" s="769" t="s">
        <v>320</v>
      </c>
      <c r="D24" s="459"/>
      <c r="E24" s="459"/>
      <c r="F24" s="459"/>
      <c r="G24" s="459"/>
      <c r="H24" s="459"/>
      <c r="I24" s="459"/>
      <c r="J24" s="459"/>
      <c r="K24" s="459"/>
      <c r="L24" s="459"/>
      <c r="M24" s="459"/>
      <c r="N24" s="459"/>
      <c r="O24" s="459"/>
    </row>
    <row r="25" spans="2:15" ht="25.5" customHeight="1" x14ac:dyDescent="0.2">
      <c r="B25" s="458">
        <f t="shared" si="0"/>
        <v>22</v>
      </c>
      <c r="C25" s="769" t="s">
        <v>321</v>
      </c>
      <c r="D25" s="459"/>
      <c r="E25" s="459"/>
      <c r="F25" s="459"/>
      <c r="G25" s="459"/>
      <c r="H25" s="459"/>
      <c r="I25" s="459"/>
      <c r="J25" s="459"/>
      <c r="K25" s="459"/>
      <c r="L25" s="459"/>
      <c r="M25" s="459"/>
      <c r="N25" s="459"/>
      <c r="O25" s="459"/>
    </row>
    <row r="26" spans="2:15" ht="25.5" customHeight="1" x14ac:dyDescent="0.2">
      <c r="B26" s="458">
        <f t="shared" si="0"/>
        <v>23</v>
      </c>
      <c r="C26" s="769" t="s">
        <v>322</v>
      </c>
      <c r="D26" s="459"/>
      <c r="E26" s="459"/>
      <c r="F26" s="459"/>
      <c r="G26" s="459"/>
      <c r="H26" s="459"/>
      <c r="I26" s="459"/>
      <c r="J26" s="459"/>
      <c r="K26" s="459"/>
      <c r="L26" s="459"/>
      <c r="M26" s="459"/>
      <c r="N26" s="459"/>
      <c r="O26" s="459"/>
    </row>
    <row r="27" spans="2:15" ht="25.5" customHeight="1" x14ac:dyDescent="0.2">
      <c r="B27" s="458">
        <f t="shared" si="0"/>
        <v>24</v>
      </c>
      <c r="C27" s="769" t="s">
        <v>323</v>
      </c>
      <c r="D27" s="459"/>
      <c r="E27" s="459"/>
      <c r="F27" s="459"/>
      <c r="G27" s="459"/>
      <c r="H27" s="459"/>
      <c r="I27" s="459"/>
      <c r="J27" s="459"/>
      <c r="K27" s="459"/>
      <c r="L27" s="459"/>
      <c r="M27" s="459"/>
      <c r="N27" s="459"/>
      <c r="O27" s="459"/>
    </row>
    <row r="28" spans="2:15" ht="24.75" customHeight="1" x14ac:dyDescent="0.2">
      <c r="B28" s="458">
        <f t="shared" si="0"/>
        <v>25</v>
      </c>
      <c r="C28" s="769" t="s">
        <v>324</v>
      </c>
      <c r="D28" s="459"/>
      <c r="E28" s="459"/>
      <c r="F28" s="459"/>
      <c r="G28" s="459"/>
      <c r="H28" s="459"/>
      <c r="I28" s="459"/>
      <c r="J28" s="459"/>
      <c r="K28" s="459"/>
      <c r="L28" s="459"/>
      <c r="M28" s="459"/>
      <c r="N28" s="459"/>
      <c r="O28" s="459"/>
    </row>
    <row r="29" spans="2:15" ht="24.75" customHeight="1" x14ac:dyDescent="0.2">
      <c r="B29" s="458">
        <f t="shared" si="0"/>
        <v>26</v>
      </c>
      <c r="C29" s="769" t="s">
        <v>325</v>
      </c>
      <c r="D29" s="459"/>
      <c r="E29" s="459"/>
      <c r="F29" s="459"/>
      <c r="G29" s="459"/>
      <c r="H29" s="459"/>
      <c r="I29" s="459"/>
      <c r="J29" s="459"/>
      <c r="K29" s="459"/>
      <c r="L29" s="459"/>
      <c r="M29" s="459"/>
      <c r="N29" s="459"/>
      <c r="O29" s="459"/>
    </row>
    <row r="30" spans="2:15" ht="26.25" customHeight="1" x14ac:dyDescent="0.2">
      <c r="B30" s="458">
        <f t="shared" si="0"/>
        <v>27</v>
      </c>
      <c r="C30" s="769" t="s">
        <v>326</v>
      </c>
      <c r="D30" s="459"/>
      <c r="E30" s="459"/>
      <c r="F30" s="459"/>
      <c r="G30" s="459"/>
      <c r="H30" s="459"/>
      <c r="I30" s="459"/>
      <c r="J30" s="459"/>
      <c r="K30" s="459"/>
      <c r="L30" s="459"/>
      <c r="M30" s="459"/>
      <c r="N30" s="459"/>
      <c r="O30" s="459"/>
    </row>
    <row r="31" spans="2:15" ht="25.5" customHeight="1" x14ac:dyDescent="0.2">
      <c r="B31" s="458">
        <f t="shared" si="0"/>
        <v>28</v>
      </c>
      <c r="C31" s="769" t="s">
        <v>327</v>
      </c>
      <c r="D31" s="459"/>
      <c r="E31" s="459"/>
      <c r="F31" s="459"/>
      <c r="G31" s="459"/>
      <c r="H31" s="459"/>
      <c r="I31" s="459"/>
      <c r="J31" s="459"/>
      <c r="K31" s="459"/>
      <c r="L31" s="459"/>
      <c r="M31" s="459"/>
      <c r="N31" s="459"/>
      <c r="O31" s="459"/>
    </row>
    <row r="32" spans="2:15" ht="24.75" customHeight="1" x14ac:dyDescent="0.2">
      <c r="B32" s="458">
        <f t="shared" si="0"/>
        <v>29</v>
      </c>
      <c r="C32" s="769" t="s">
        <v>328</v>
      </c>
      <c r="D32" s="459"/>
      <c r="E32" s="459"/>
      <c r="F32" s="459"/>
      <c r="G32" s="459"/>
      <c r="H32" s="459"/>
      <c r="I32" s="459"/>
      <c r="J32" s="459"/>
      <c r="K32" s="459"/>
      <c r="L32" s="459"/>
      <c r="M32" s="459"/>
      <c r="N32" s="459"/>
      <c r="O32" s="459"/>
    </row>
    <row r="33" spans="2:15" ht="25.5" customHeight="1" x14ac:dyDescent="0.2">
      <c r="B33" s="458">
        <f t="shared" si="0"/>
        <v>30</v>
      </c>
      <c r="C33" s="769" t="s">
        <v>329</v>
      </c>
      <c r="D33" s="459"/>
      <c r="E33" s="459"/>
      <c r="F33" s="459"/>
      <c r="G33" s="459"/>
      <c r="H33" s="459"/>
      <c r="I33" s="459"/>
      <c r="J33" s="459"/>
      <c r="K33" s="459"/>
      <c r="L33" s="459"/>
      <c r="M33" s="459"/>
      <c r="N33" s="459"/>
      <c r="O33" s="459"/>
    </row>
    <row r="34" spans="2:15" ht="24.75" customHeight="1" x14ac:dyDescent="0.2">
      <c r="B34" s="458">
        <f t="shared" si="0"/>
        <v>31</v>
      </c>
      <c r="C34" s="769" t="s">
        <v>330</v>
      </c>
      <c r="D34" s="459"/>
      <c r="E34" s="459"/>
      <c r="F34" s="459"/>
      <c r="G34" s="459"/>
      <c r="H34" s="459"/>
      <c r="I34" s="459"/>
      <c r="J34" s="459"/>
      <c r="K34" s="459"/>
      <c r="L34" s="459"/>
      <c r="M34" s="459"/>
      <c r="N34" s="459"/>
      <c r="O34" s="459"/>
    </row>
    <row r="35" spans="2:15" ht="26.25" customHeight="1" x14ac:dyDescent="0.2">
      <c r="B35" s="458">
        <f t="shared" si="0"/>
        <v>32</v>
      </c>
      <c r="C35" s="769"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70" t="s">
        <v>287</v>
      </c>
      <c r="C2" s="870"/>
      <c r="D2" s="870"/>
      <c r="E2" s="870"/>
      <c r="F2" s="870"/>
      <c r="G2" s="870"/>
      <c r="H2" s="870"/>
      <c r="I2" s="870"/>
      <c r="J2" s="870"/>
      <c r="K2" s="870"/>
    </row>
    <row r="3" spans="2:12" ht="13.5" thickBot="1" x14ac:dyDescent="0.25"/>
    <row r="4" spans="2:12" ht="18.75" x14ac:dyDescent="0.3">
      <c r="B4" s="363" t="s">
        <v>1</v>
      </c>
      <c r="C4" s="364">
        <v>2012</v>
      </c>
      <c r="D4" s="364">
        <v>2013</v>
      </c>
      <c r="E4" s="364">
        <v>2014</v>
      </c>
      <c r="F4" s="364">
        <v>2015</v>
      </c>
      <c r="G4" s="365">
        <v>2016</v>
      </c>
      <c r="H4" s="148" t="s">
        <v>267</v>
      </c>
      <c r="I4" s="148" t="s">
        <v>268</v>
      </c>
      <c r="J4" s="148" t="s">
        <v>269</v>
      </c>
      <c r="K4" s="506" t="s">
        <v>284</v>
      </c>
      <c r="L4" s="506" t="s">
        <v>298</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71" t="s">
        <v>288</v>
      </c>
      <c r="C2" s="871"/>
      <c r="D2" s="871"/>
      <c r="E2" s="871"/>
      <c r="F2" s="871"/>
      <c r="G2" s="871"/>
      <c r="H2" s="871"/>
      <c r="I2" s="871"/>
      <c r="J2" s="871"/>
      <c r="K2" s="871"/>
    </row>
    <row r="3" spans="2:12" ht="13.5" thickBot="1" x14ac:dyDescent="0.25"/>
    <row r="4" spans="2:12" ht="18.75" x14ac:dyDescent="0.3">
      <c r="B4" s="146" t="s">
        <v>1</v>
      </c>
      <c r="C4" s="147" t="s">
        <v>128</v>
      </c>
      <c r="D4" s="147" t="s">
        <v>130</v>
      </c>
      <c r="E4" s="147" t="s">
        <v>150</v>
      </c>
      <c r="F4" s="148" t="s">
        <v>154</v>
      </c>
      <c r="G4" s="148" t="s">
        <v>210</v>
      </c>
      <c r="H4" s="148" t="s">
        <v>267</v>
      </c>
      <c r="I4" s="148" t="s">
        <v>268</v>
      </c>
      <c r="J4" s="148" t="s">
        <v>269</v>
      </c>
      <c r="K4" s="506" t="s">
        <v>284</v>
      </c>
      <c r="L4" s="506" t="s">
        <v>298</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1" t="s">
        <v>293</v>
      </c>
      <c r="C2" s="871"/>
      <c r="D2" s="871"/>
      <c r="E2" s="871"/>
      <c r="F2" s="871"/>
      <c r="G2" s="871"/>
      <c r="H2" s="871"/>
      <c r="I2" s="871"/>
      <c r="J2" s="871"/>
      <c r="K2" s="871"/>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70" t="s">
        <v>292</v>
      </c>
      <c r="C2" s="870"/>
      <c r="D2" s="870"/>
      <c r="E2" s="870"/>
      <c r="F2" s="870"/>
      <c r="G2" s="870"/>
      <c r="H2" s="870"/>
      <c r="I2" s="870"/>
      <c r="J2" s="870"/>
      <c r="K2" s="870"/>
      <c r="L2" s="228"/>
      <c r="M2" s="228"/>
      <c r="N2" s="228"/>
      <c r="O2" s="228"/>
      <c r="P2" s="228"/>
      <c r="Q2" s="228"/>
    </row>
    <row r="3" spans="2:17" ht="13.5" thickBot="1" x14ac:dyDescent="0.25"/>
    <row r="4" spans="2:17" ht="27" customHeight="1" x14ac:dyDescent="0.2">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zoomScale="60" zoomScaleNormal="80" workbookViewId="0">
      <selection activeCell="M13" sqref="M13"/>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70" t="s">
        <v>291</v>
      </c>
      <c r="C2" s="870"/>
      <c r="D2" s="870"/>
      <c r="E2" s="870"/>
      <c r="F2" s="870"/>
      <c r="G2" s="870"/>
      <c r="H2" s="870"/>
      <c r="I2" s="870"/>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210</v>
      </c>
      <c r="F4" s="162" t="s">
        <v>267</v>
      </c>
      <c r="G4" s="162" t="s">
        <v>268</v>
      </c>
      <c r="H4" s="162" t="s">
        <v>269</v>
      </c>
      <c r="I4" s="623" t="s">
        <v>284</v>
      </c>
      <c r="J4" s="623" t="s">
        <v>298</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22">
        <v>79.963999999999999</v>
      </c>
      <c r="J5" s="622">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71" t="s">
        <v>290</v>
      </c>
      <c r="C2" s="871"/>
      <c r="D2" s="871"/>
      <c r="E2" s="871"/>
      <c r="F2" s="871"/>
      <c r="G2" s="871"/>
      <c r="H2" s="871"/>
      <c r="I2" s="871"/>
      <c r="J2" s="871"/>
      <c r="K2" s="871"/>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2"/>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OP IAB</cp:lastModifiedBy>
  <cp:lastPrinted>2022-03-08T09:36:33Z</cp:lastPrinted>
  <dcterms:created xsi:type="dcterms:W3CDTF">2001-01-08T14:44:55Z</dcterms:created>
  <dcterms:modified xsi:type="dcterms:W3CDTF">2022-03-08T09:37:30Z</dcterms:modified>
</cp:coreProperties>
</file>