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charts/chart15.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trlProps/ctrlProp2.xml" ContentType="application/vnd.ms-excel.controlproperties+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defaultThemeVersion="124226"/>
  <mc:AlternateContent xmlns:mc="http://schemas.openxmlformats.org/markup-compatibility/2006">
    <mc:Choice Requires="x15">
      <x15ac:absPath xmlns:x15ac="http://schemas.microsoft.com/office/spreadsheetml/2010/11/ac" url="E:\2024\KETERSEDIAAN AIR BENDUNGAN BENDUNG DAN EMBUNG 2024\2024. APRIL\"/>
    </mc:Choice>
  </mc:AlternateContent>
  <xr:revisionPtr revIDLastSave="0" documentId="13_ncr:1_{344C1121-C49F-4129-9082-1A4DA4793F73}" xr6:coauthVersionLast="47" xr6:coauthVersionMax="47" xr10:uidLastSave="{00000000-0000-0000-0000-000000000000}"/>
  <bookViews>
    <workbookView xWindow="-120" yWindow="-120" windowWidth="29040" windowHeight="15840" activeTab="8" xr2:uid="{00000000-000D-0000-FFFF-FFFF00000000}"/>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sheetId="12" r:id="rId11"/>
    <sheet name="RINCI 1BK" sheetId="42" r:id="rId12"/>
    <sheet name="RINCI 2" sheetId="13" r:id="rId13"/>
    <sheet name="GRAOMBO" sheetId="25" r:id="rId14"/>
    <sheet name="GR GJMUNGKUR" sheetId="26" state="hidden" r:id="rId15"/>
    <sheet name="GRAWDLTG" sheetId="27" state="hidden" r:id="rId16"/>
    <sheet name="GRASPOR" sheetId="28" state="hidden" r:id="rId17"/>
    <sheet name="GDIRMAN" sheetId="29" state="hidden" r:id="rId18"/>
    <sheet name="AREAL" sheetId="3" state="hidden" r:id="rId19"/>
    <sheet name="KDOMBO" sheetId="14" state="hidden" r:id="rId20"/>
    <sheet name="Compatibility Report" sheetId="34" state="hidden" r:id="rId21"/>
    <sheet name="Sheet1" sheetId="35" state="hidden" r:id="rId22"/>
    <sheet name="DATA" sheetId="40" r:id="rId23"/>
    <sheet name="Sheet3" sheetId="39" r:id="rId24"/>
  </sheets>
  <externalReferences>
    <externalReference r:id="rId25"/>
  </externalReferences>
  <definedNames>
    <definedName name="_xlnm.Print_Area" localSheetId="7">' '!$A$1:$H$50</definedName>
    <definedName name="_xlnm.Print_Area" localSheetId="9">ANALISA!$A$1:$R$57</definedName>
    <definedName name="_xlnm.Print_Area" localSheetId="18">AREAL!$A$3:$I$51</definedName>
    <definedName name="_xlnm.Print_Area" localSheetId="22">DATA!$AB$2:$AO$64</definedName>
    <definedName name="_xlnm.Print_Area" localSheetId="17">GDIRMAN!$A$1:$I$51</definedName>
    <definedName name="_xlnm.Print_Area" localSheetId="14">'GR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3">GRAOMBO!$A$1:$P$57</definedName>
    <definedName name="_xlnm.Print_Area" localSheetId="16">GRASPOR!$B$2:$G$53</definedName>
    <definedName name="_xlnm.Print_Area" localSheetId="15">GRAWDLTG!$B$1:$G$51</definedName>
    <definedName name="_xlnm.Print_Area" localSheetId="10">'RINCI 1'!$B$2:$J$62</definedName>
    <definedName name="_xlnm.Print_Area" localSheetId="11">'RINCI 1BK'!$B$2:$J$53</definedName>
    <definedName name="_xlnm.Print_Area" localSheetId="12">'RINCI 2'!$B$1:$J$51</definedName>
    <definedName name="_xlnm.Print_Area" localSheetId="8">UTAMA!$AB$2:$AO$64</definedName>
  </definedNames>
  <calcPr calcId="181029"/>
  <fileRecoveryPr autoRecover="0"/>
</workbook>
</file>

<file path=xl/calcChain.xml><?xml version="1.0" encoding="utf-8"?>
<calcChain xmlns="http://schemas.openxmlformats.org/spreadsheetml/2006/main">
  <c r="D11" i="42" l="1"/>
  <c r="I10" i="42"/>
  <c r="H10" i="42"/>
  <c r="G10" i="42"/>
  <c r="F10" i="42"/>
  <c r="E10" i="42"/>
  <c r="I9" i="42"/>
  <c r="H9" i="42"/>
  <c r="G9" i="42"/>
  <c r="F9" i="42"/>
  <c r="E9" i="42"/>
  <c r="B4" i="42"/>
  <c r="H11" i="42" l="1"/>
  <c r="J10" i="42"/>
  <c r="J9" i="42"/>
  <c r="J18" i="42" s="1"/>
  <c r="E11" i="42"/>
  <c r="I11" i="42"/>
  <c r="J16" i="42" l="1"/>
  <c r="J17" i="42"/>
  <c r="J15" i="42"/>
  <c r="I12" i="42"/>
  <c r="J11" i="42"/>
  <c r="L47" i="11"/>
  <c r="J19" i="42" l="1"/>
  <c r="AR458" i="40"/>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J382" i="40" s="1"/>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E38" i="40" l="1"/>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J55" i="11"/>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G20" i="13"/>
  <c r="F20" i="13"/>
  <c r="AQ78" i="40" l="1"/>
  <c r="AS77" i="40"/>
  <c r="J20" i="13"/>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3" i="11"/>
  <c r="L44"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1" i="13"/>
  <c r="G21" i="13"/>
  <c r="H21" i="13"/>
  <c r="I21" i="13"/>
  <c r="F22" i="13"/>
  <c r="G22" i="13"/>
  <c r="I22" i="13"/>
  <c r="F23" i="13"/>
  <c r="G23" i="13"/>
  <c r="H23" i="13"/>
  <c r="I23" i="13"/>
  <c r="F24" i="13"/>
  <c r="G24" i="13"/>
  <c r="H24" i="13"/>
  <c r="I24" i="13"/>
  <c r="F25" i="13"/>
  <c r="G25" i="13"/>
  <c r="H25" i="13"/>
  <c r="I25" i="13"/>
  <c r="F26" i="13"/>
  <c r="G26" i="13"/>
  <c r="H26" i="13"/>
  <c r="I26" i="13"/>
  <c r="F27" i="13"/>
  <c r="G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I36" i="13"/>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29" i="13" l="1"/>
  <c r="AB21" i="30" s="1"/>
  <c r="AQ88" i="40"/>
  <c r="AS87" i="40"/>
  <c r="J14" i="12"/>
  <c r="T7" i="30" s="1"/>
  <c r="J25" i="13"/>
  <c r="AB17" i="30" s="1"/>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J41" i="13"/>
  <c r="AB33" i="30" s="1"/>
  <c r="J40" i="13"/>
  <c r="AB32" i="30" s="1"/>
  <c r="J19" i="13"/>
  <c r="AB12" i="30" s="1"/>
  <c r="J18" i="13"/>
  <c r="AB11" i="30" s="1"/>
  <c r="J17" i="13"/>
  <c r="AB10" i="30" s="1"/>
  <c r="J16" i="13"/>
  <c r="J36" i="13"/>
  <c r="AB28" i="30" s="1"/>
  <c r="J35" i="13"/>
  <c r="AB27" i="30" s="1"/>
  <c r="J34" i="13"/>
  <c r="AB26" i="30" s="1"/>
  <c r="J33" i="13"/>
  <c r="AB25" i="30" s="1"/>
  <c r="J32" i="13"/>
  <c r="AB24" i="30" s="1"/>
  <c r="J31" i="13"/>
  <c r="AB23" i="30" s="1"/>
  <c r="J30" i="13"/>
  <c r="AB22" i="30" s="1"/>
  <c r="J28" i="13"/>
  <c r="AB20" i="30" s="1"/>
  <c r="J27" i="13"/>
  <c r="AB19" i="30" s="1"/>
  <c r="J26" i="13"/>
  <c r="AB18" i="30" s="1"/>
  <c r="J24" i="13"/>
  <c r="AB16" i="30" s="1"/>
  <c r="J23" i="13"/>
  <c r="AB15" i="30" s="1"/>
  <c r="J37" i="13"/>
  <c r="AB29" i="30" s="1"/>
  <c r="J21" i="13"/>
  <c r="AB13" i="30" s="1"/>
  <c r="J15" i="13"/>
  <c r="AB8" i="30" s="1"/>
  <c r="J14" i="13"/>
  <c r="AB7" i="30" s="1"/>
  <c r="J39" i="13"/>
  <c r="AB31" i="30" s="1"/>
  <c r="J38" i="13"/>
  <c r="AB30" i="30" s="1"/>
  <c r="J22" i="13"/>
  <c r="AB14" i="30" s="1"/>
  <c r="J13" i="13"/>
  <c r="AB6" i="30" s="1"/>
  <c r="J12" i="13"/>
  <c r="AB5" i="30" s="1"/>
  <c r="J11" i="13"/>
  <c r="AB4" i="30" s="1"/>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F34" i="30" s="1" a="1"/>
  <c r="F34" i="30" s="1"/>
  <c r="J27" i="12"/>
  <c r="B25" i="30" s="1"/>
  <c r="AB9" i="30"/>
  <c r="H50" i="3"/>
  <c r="N35" i="30" l="1" a="1"/>
  <c r="N35" i="30" s="1"/>
  <c r="N34" i="30" a="1"/>
  <c r="N34" i="30" s="1"/>
  <c r="P36" i="30" a="1"/>
  <c r="P36" i="30" s="1"/>
  <c r="P39" i="30" a="1"/>
  <c r="P39" i="30" s="1"/>
  <c r="P44" i="30" a="1"/>
  <c r="P44" i="30" s="1"/>
  <c r="P47" i="30" a="1"/>
  <c r="P47" i="30" s="1"/>
  <c r="P32" i="30" a="1"/>
  <c r="P32" i="30" s="1"/>
  <c r="P40" i="30" a="1"/>
  <c r="P40" i="30" s="1"/>
  <c r="P33" i="30" a="1"/>
  <c r="P33" i="30" s="1"/>
  <c r="P41" i="30" a="1"/>
  <c r="P41" i="30" s="1"/>
  <c r="P49" i="30" a="1"/>
  <c r="P49" i="30" s="1"/>
  <c r="P34" i="30" a="1"/>
  <c r="P34" i="30" s="1"/>
  <c r="P37" i="30" a="1"/>
  <c r="P37" i="30" s="1"/>
  <c r="P42" i="30" a="1"/>
  <c r="P42" i="30" s="1"/>
  <c r="P50" i="30" a="1"/>
  <c r="P50" i="30" s="1"/>
  <c r="P35" i="30" a="1"/>
  <c r="P35" i="30" s="1"/>
  <c r="P43" i="30" a="1"/>
  <c r="P43" i="30" s="1"/>
  <c r="P51" i="30" a="1"/>
  <c r="P51" i="30" s="1"/>
  <c r="P38" i="30" a="1"/>
  <c r="P38" i="30" s="1"/>
  <c r="P46" i="30" a="1"/>
  <c r="P46" i="30" s="1"/>
  <c r="J35" i="30" a="1"/>
  <c r="J35" i="30" s="1"/>
  <c r="J33" i="30" a="1"/>
  <c r="J33" i="30" s="1"/>
  <c r="AQ90" i="40"/>
  <c r="AS89" i="40"/>
  <c r="F32" i="30" a="1"/>
  <c r="F32" i="30" s="1"/>
  <c r="J31" i="30" a="1"/>
  <c r="J31" i="30" s="1"/>
  <c r="H48" i="30" a="1"/>
  <c r="H48" i="30" s="1"/>
  <c r="H50" i="30" a="1"/>
  <c r="H50" i="30" s="1"/>
  <c r="L34" i="30" a="1"/>
  <c r="L34" i="30" s="1"/>
  <c r="L36" i="30" a="1"/>
  <c r="L36" i="30" s="1"/>
  <c r="H49" i="30" a="1"/>
  <c r="H49" i="30" s="1"/>
  <c r="H54" i="30" a="1"/>
  <c r="H54" i="30" s="1"/>
  <c r="J32" i="30" a="1"/>
  <c r="J32" i="30" s="1"/>
  <c r="J34" i="30" a="1"/>
  <c r="J34" i="30" s="1"/>
  <c r="N32" i="30" a="1"/>
  <c r="N32" i="30" s="1"/>
  <c r="N33" i="30" a="1"/>
  <c r="N33"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9" i="30" a="1"/>
  <c r="L39" i="30" s="1"/>
  <c r="L32" i="30" a="1"/>
  <c r="L32" i="30" s="1"/>
  <c r="L38" i="30" a="1"/>
  <c r="L38" i="30" s="1"/>
  <c r="L40" i="30" a="1"/>
  <c r="L40" i="30" s="1"/>
  <c r="J36" i="30" a="1"/>
  <c r="J36"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L43" i="30" a="1"/>
  <c r="L43" i="30" s="1"/>
  <c r="H32" i="30" a="1"/>
  <c r="H32" i="30" s="1"/>
  <c r="L45" i="30" a="1"/>
  <c r="L45" i="30" s="1"/>
  <c r="AF2" i="30"/>
  <c r="AF11" i="30" a="1"/>
  <c r="AF11" i="30" s="1"/>
  <c r="AF8" i="30" a="1"/>
  <c r="AF8" i="30" s="1"/>
  <c r="L44" i="30" a="1"/>
  <c r="L44" i="30" s="1"/>
  <c r="L41" i="30" a="1"/>
  <c r="L41" i="30" s="1"/>
  <c r="L42" i="30" a="1"/>
  <c r="L42" i="30" s="1"/>
  <c r="N40" i="30" a="1"/>
  <c r="N40"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P52" i="30" a="1"/>
  <c r="P52"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P53" i="30" a="1"/>
  <c r="P53"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<sst xmlns="http://schemas.openxmlformats.org/spreadsheetml/2006/main" count="2655" uniqueCount="353">
  <si>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</si>
  <si>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</si>
  <si>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</si>
  <si>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</si>
  <si>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</si>
  <si>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</si>
  <si>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</si>
  <si>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</si>
  <si>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</si>
  <si>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</si>
  <si>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</si>
  <si>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</si>
  <si>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</si>
  <si>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</si>
  <si>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</si>
  <si>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</si>
  <si>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</si>
  <si>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</si>
  <si>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</si>
  <si>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</si>
  <si>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</si>
  <si>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</si>
  <si>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</si>
  <si>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</si>
  <si>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</si>
  <si>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</si>
  <si>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</si>
  <si>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</si>
  <si>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</si>
  <si>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</si>
  <si>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</si>
  <si>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</si>
  <si>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</si>
  <si>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</si>
  <si>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</si>
  <si>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</si>
  <si>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</si>
  <si>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</si>
  <si>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</si>
  <si>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</si>
  <si>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</si>
  <si>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</si>
  <si>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</si>
  <si>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</si>
  <si>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</si>
  <si>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</si>
  <si>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</si>
  <si>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</si>
  <si>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</si>
  <si>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</si>
  <si>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</si>
  <si>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</si>
  <si>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</si>
  <si>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</si>
  <si>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</si>
  <si>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</si>
  <si>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</si>
  <si>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</si>
  <si>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</si>
  <si>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</si>
  <si>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</si>
  <si>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</si>
  <si>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</si>
  <si>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</si>
  <si>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</si>
  <si>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</si>
  <si>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</si>
  <si>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</si>
  <si>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</si>
  <si>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</si>
  <si>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</si>
  <si>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</si>
  <si>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</si>
  <si>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</si>
  <si>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</si>
  <si>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</si>
  <si>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</si>
  <si>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</si>
  <si>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</si>
  <si>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</si>
  <si>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</si>
  <si>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</si>
  <si>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</si>
  <si>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</si>
  <si>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</si>
  <si>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</si>
  <si>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</si>
  <si>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</si>
  <si>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</si>
  <si>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</si>
  <si>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</si>
  <si>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</si>
  <si>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</si>
  <si>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</si>
  <si>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</si>
  <si>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</si>
  <si>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</si>
  <si>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</si>
  <si>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</si>
  <si>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</si>
  <si>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</si>
  <si>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</si>
  <si>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</si>
  <si>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</si>
  <si>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</si>
  <si>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</si>
  <si>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</si>
  <si>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</si>
  <si>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</si>
  <si>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</si>
  <si>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</si>
  <si>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</si>
  <si>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</si>
  <si>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</si>
  <si>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</si>
  <si>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</si>
  <si>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</si>
  <si>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</si>
  <si>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</si>
  <si>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</si>
  <si>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</si>
  <si>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</si>
  <si>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</si>
  <si>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</si>
  <si>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</si>
  <si>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</si>
  <si>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</si>
  <si>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</si>
  <si>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</si>
  <si>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</si>
  <si>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</si>
  <si>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</si>
  <si>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</si>
  <si>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</si>
  <si>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</si>
  <si>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</si>
  <si>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</si>
  <si>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</si>
  <si>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</si>
  <si>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</si>
  <si>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</si>
  <si>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</si>
  <si>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</si>
  <si>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</si>
  <si>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</si>
  <si>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</si>
  <si>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</si>
  <si>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</si>
  <si>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</si>
  <si>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</si>
  <si>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</si>
  <si>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</si>
  <si>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</si>
  <si>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</si>
  <si>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</si>
  <si>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</si>
  <si>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</si>
  <si>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</si>
  <si>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</si>
  <si>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</si>
  <si>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</si>
  <si>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</si>
  <si>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</si>
  <si>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</si>
  <si>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</si>
  <si>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</si>
  <si>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</si>
  <si>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</si>
  <si>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</si>
  <si>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</si>
  <si>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</si>
  <si>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</si>
  <si>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</si>
  <si>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</si>
  <si>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</si>
  <si>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</si>
  <si>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</si>
  <si>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</si>
  <si>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</si>
  <si>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</si>
  <si>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</si>
  <si>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</si>
  <si>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</si>
  <si>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</si>
  <si>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</si>
  <si>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</si>
  <si>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</si>
  <si>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</si>
  <si>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</si>
  <si>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</si>
  <si>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</si>
  <si>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</si>
  <si>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</si>
  <si>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</si>
  <si>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</si>
  <si>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</si>
  <si>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</si>
  <si>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</si>
  <si>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</si>
  <si>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</si>
  <si>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</si>
  <si>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</si>
  <si>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</si>
  <si>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</si>
  <si>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</si>
  <si>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</si>
  <si>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</si>
  <si>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</si>
  <si>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</si>
  <si>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</si>
  <si>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</si>
  <si>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</si>
  <si>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</si>
  <si>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</si>
  <si>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</si>
  <si>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</si>
  <si>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</si>
  <si>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</si>
  <si>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</si>
  <si>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</si>
  <si>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</si>
  <si>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</si>
  <si>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</si>
  <si>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</si>
  <si>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</si>
  <si>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</si>
  <si>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</si>
  <si>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</si>
  <si>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</si>
  <si>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</si>
  <si>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</si>
  <si>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</si>
  <si>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</si>
  <si>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</si>
  <si>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</si>
  <si>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</si>
  <si>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</si>
  <si>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</si>
  <si>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</si>
  <si>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</si>
  <si>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</si>
  <si>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</si>
  <si>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</si>
  <si>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</si>
  <si>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</si>
  <si>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</si>
  <si>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</si>
  <si>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</si>
  <si>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</si>
  <si>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</si>
  <si>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</si>
  <si>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</si>
  <si>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</si>
  <si>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</si>
  <si>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</si>
  <si>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</si>
  <si>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</si>
  <si>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</si>
  <si>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</si>
  <si>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</si>
  <si>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</si>
  <si>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</si>
  <si>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</si>
  <si>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</si>
  <si>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</si>
  <si>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</si>
  <si>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</si>
  <si>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</si>
  <si>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</si>
  <si>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</si>
  <si>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</si>
  <si>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</si>
  <si>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</si>
  <si>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</si>
  <si>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</si>
  <si>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</si>
  <si>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</si>
  <si>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</si>
  <si>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</si>
  <si>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</si>
  <si>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</si>
  <si>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</si>
  <si>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</si>
  <si>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</si>
  <si>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</si>
  <si>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</si>
  <si>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</si>
  <si>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</si>
  <si>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</si>
  <si>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</si>
  <si>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</si>
  <si>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</si>
  <si>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</si>
  <si>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</si>
  <si>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</si>
  <si>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</si>
  <si>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</si>
  <si>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</si>
  <si>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</si>
  <si>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</si>
  <si>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</si>
  <si>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</si>
  <si>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</si>
  <si>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</si>
  <si>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</si>
  <si>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</si>
  <si>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</si>
  <si>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</si>
  <si>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</si>
  <si>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</si>
  <si>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</si>
  <si>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</si>
  <si>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</si>
  <si>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</si>
  <si>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</si>
  <si>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</si>
  <si>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</si>
  <si>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</si>
  <si>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</si>
  <si>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</si>
  <si>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</si>
  <si>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</si>
  <si>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</si>
  <si>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</si>
  <si>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</si>
  <si>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</si>
  <si>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</si>
  <si>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</si>
  <si>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</si>
  <si>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</si>
  <si>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</si>
  <si>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</si>
  <si>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</si>
  <si>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</si>
  <si>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</si>
  <si>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</si>
  <si>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</si>
  <si>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</si>
  <si>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</si>
  <si>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</si>
  <si>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</si>
  <si>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</si>
  <si>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</si>
  <si>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</si>
  <si>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</si>
  <si>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</si>
  <si>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</si>
  <si>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</si>
  <si>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</si>
  <si>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 xml:space="preserve">MINGGU KE I APRIL ( 2 APRIL S/D 8 APRIL 2024 ) dalam Juta m3 </t>
  </si>
  <si>
    <t>MINGGU KE I APRIL 2024</t>
  </si>
  <si>
    <t>*) = KONDISI  SAMPAI DENGAN TANGGAL 8 APRIL 2024</t>
  </si>
  <si>
    <t>MINGGU  : I APRIL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</si>
</sst>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_);_(* \(#,##0\);_(* &quot;-&quot;_);_(@_)"/>
    <numFmt numFmtId="165" formatCode="_(* #,##0.00_);_(* \(#,##0.00\);_(* &quot;-&quot;??_);_(@_)"/>
    <numFmt numFmtId="166" formatCode="_(* #,##0.000_);_(* \(#,##0.000\);_(* &quot;-&quot;??_);_(@_)"/>
    <numFmt numFmtId="167" formatCode="_(* #,##0_);_(* \(#,##0\);_(* &quot;-&quot;??_);_(@_)"/>
    <numFmt numFmtId="168" formatCode="_(* #,##0.0_);_(* \(#,##0.0\);_(* &quot;-&quot;??_);_(@_)"/>
    <numFmt numFmtId="169" formatCode="#,##0.000;[Red]#,##0.000"/>
    <numFmt numFmtId="170" formatCode="#,##0.00;[Red]#,##0.00"/>
    <numFmt numFmtId="171" formatCode="0.000"/>
    <numFmt numFmtId="172" formatCode="0_)"/>
    <numFmt numFmtId="173" formatCode="0_);\(0\)"/>
    <numFmt numFmtId="174" formatCode="_(* #,##0.000_);_(* \(#,##0.000\);_(* &quot;-&quot;???_);_(@_)"/>
    <numFmt numFmtId="175" formatCode="dd\-mm"/>
    <numFmt numFmtId="176" formatCode="_(* #,##0.00_);_(* \(#,##0.00\);_(* &quot;-&quot;_);_(@_)"/>
    <numFmt numFmtId="177" formatCode="_(* #,##0.000_);_(* \(#,##0.000\);_(* &quot;-&quot;_);_(@_)"/>
    <numFmt numFmtId="178" formatCode="_ * #,##0_)_R_p_ ;_ * \(#,##0\)_R_p_ ;_ * &quot;-&quot;_)_R_p_ ;_ @_ "/>
    <numFmt numFmtId="179" formatCode="_ * #,##0.00_)_R_p_ ;_ * \(#,##0.00\)_R_p_ ;_ * &quot;-&quot;??_)_R_p_ ;_ @_ "/>
    <numFmt numFmtId="180" formatCode="#,##0.000"/>
    <numFmt numFmtId="181"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165" fontId="4" fillId="0" borderId="0" applyFont="0" applyFill="0" applyBorder="0" applyProtection="0"/>
    <xf numFmtId="164"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64" fontId="3" fillId="0" borderId="0" applyFont="0" applyFill="0" applyBorder="0" applyAlignment="0" applyProtection="0"/>
    <xf numFmtId="165" fontId="3" fillId="0" borderId="0" applyFont="0" applyFill="0" applyBorder="0" applyAlignment="0" applyProtection="0"/>
    <xf numFmtId="165" fontId="2" fillId="0" borderId="0" applyFont="0" applyFill="0" applyBorder="0" applyAlignment="0" applyProtection="0"/>
    <xf numFmtId="179" fontId="4" fillId="0" borderId="0" applyFont="0" applyFill="0" applyBorder="0" applyAlignment="0" applyProtection="0"/>
    <xf numFmtId="178" fontId="4" fillId="0" borderId="0" applyFont="0" applyFill="0" applyBorder="0" applyAlignment="0" applyProtection="0"/>
    <xf numFmtId="0" fontId="74" fillId="0" borderId="0" applyNumberFormat="0" applyFill="0" applyBorder="0" applyAlignment="0" applyProtection="0">
      <alignment vertical="top"/>
      <protection locked="0"/>
    </xf>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75" fillId="0" borderId="0" applyFont="0" applyFill="0" applyBorder="0" applyAlignment="0" applyProtection="0"/>
    <xf numFmtId="178" fontId="75" fillId="0" borderId="0" applyFont="0" applyFill="0" applyBorder="0" applyAlignment="0" applyProtection="0"/>
    <xf numFmtId="179" fontId="75" fillId="0" borderId="0" applyFont="0" applyFill="0" applyBorder="0" applyAlignment="0" applyProtection="0"/>
    <xf numFmtId="179" fontId="75"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79" fontId="76" fillId="0" borderId="0" applyFont="0" applyFill="0" applyBorder="0" applyAlignment="0" applyProtection="0"/>
    <xf numFmtId="178" fontId="76" fillId="0" borderId="0" applyFont="0" applyFill="0" applyBorder="0" applyAlignment="0" applyProtection="0"/>
    <xf numFmtId="179" fontId="76" fillId="0" borderId="0" applyFont="0" applyFill="0" applyBorder="0" applyAlignment="0" applyProtection="0"/>
    <xf numFmtId="179" fontId="76" fillId="0" borderId="0" applyFont="0" applyFill="0" applyBorder="0" applyAlignment="0" applyProtection="0"/>
    <xf numFmtId="179" fontId="77" fillId="0" borderId="0" applyFont="0" applyFill="0" applyBorder="0" applyAlignment="0" applyProtection="0"/>
    <xf numFmtId="178" fontId="77" fillId="0" borderId="0" applyFont="0" applyFill="0" applyBorder="0" applyAlignment="0" applyProtection="0"/>
    <xf numFmtId="179" fontId="77" fillId="0" borderId="0" applyFont="0" applyFill="0" applyBorder="0" applyAlignment="0" applyProtection="0"/>
    <xf numFmtId="179" fontId="80" fillId="0" borderId="0" applyFont="0" applyFill="0" applyBorder="0" applyAlignment="0" applyProtection="0"/>
    <xf numFmtId="178" fontId="80" fillId="0" borderId="0" applyFont="0" applyFill="0" applyBorder="0" applyAlignment="0" applyProtection="0"/>
    <xf numFmtId="179" fontId="4" fillId="0" borderId="0" applyFont="0" applyFill="0" applyBorder="0" applyAlignment="0" applyProtection="0"/>
    <xf numFmtId="179" fontId="4" fillId="0" borderId="0" applyFont="0" applyFill="0" applyBorder="0" applyAlignment="0" applyProtection="0"/>
    <xf numFmtId="179" fontId="83" fillId="0" borderId="0" applyFont="0" applyFill="0" applyBorder="0" applyAlignment="0" applyProtection="0"/>
    <xf numFmtId="178" fontId="8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79" fontId="84" fillId="0" borderId="0" applyFont="0" applyFill="0" applyBorder="0" applyAlignment="0" applyProtection="0"/>
    <xf numFmtId="178"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93" fillId="0" borderId="0"/>
    <xf numFmtId="164" fontId="1" fillId="0" borderId="0" applyFont="0" applyFill="0" applyBorder="0" applyAlignment="0" applyProtection="0"/>
    <xf numFmtId="165" fontId="1" fillId="0" borderId="0" applyFont="0" applyFill="0" applyBorder="0" applyAlignment="0" applyProtection="0"/>
    <xf numFmtId="0" fontId="94" fillId="0" borderId="0"/>
    <xf numFmtId="165" fontId="95" fillId="0" borderId="0" applyFont="0" applyFill="0" applyBorder="0" applyAlignment="0" applyProtection="0"/>
    <xf numFmtId="164" fontId="4" fillId="0" borderId="0" applyFont="0" applyFill="0" applyBorder="0" applyAlignment="0" applyProtection="0"/>
  </cellStyleXfs>
  <cellXfs count="942">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165" fontId="7" fillId="0" borderId="12" xfId="28" applyFont="1" applyBorder="1"/>
    <xf numFmtId="165" fontId="7" fillId="0" borderId="13" xfId="28" applyFont="1" applyBorder="1"/>
    <xf numFmtId="166" fontId="7" fillId="0" borderId="13" xfId="0" applyNumberFormat="1" applyFont="1" applyBorder="1"/>
    <xf numFmtId="0" fontId="6" fillId="0" borderId="13" xfId="0" applyFont="1" applyBorder="1"/>
    <xf numFmtId="0" fontId="5" fillId="0" borderId="14" xfId="0" applyFont="1" applyBorder="1"/>
    <xf numFmtId="165" fontId="7" fillId="0" borderId="15" xfId="28" applyFont="1" applyBorder="1"/>
    <xf numFmtId="0" fontId="6" fillId="0" borderId="15" xfId="0" applyFont="1" applyBorder="1" applyAlignment="1">
      <alignment horizontal="center"/>
    </xf>
    <xf numFmtId="0" fontId="6" fillId="0" borderId="16" xfId="0" applyFont="1" applyBorder="1"/>
    <xf numFmtId="166"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6" fontId="6" fillId="0" borderId="20" xfId="28" applyNumberFormat="1" applyFont="1" applyBorder="1"/>
    <xf numFmtId="167"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165" fontId="5" fillId="0" borderId="22" xfId="28" quotePrefix="1" applyFont="1" applyBorder="1"/>
    <xf numFmtId="165" fontId="5" fillId="0" borderId="23" xfId="28" quotePrefix="1" applyFont="1" applyBorder="1"/>
    <xf numFmtId="166" fontId="7" fillId="0" borderId="13" xfId="28" applyNumberFormat="1" applyFont="1" applyBorder="1"/>
    <xf numFmtId="165" fontId="7" fillId="0" borderId="13" xfId="0" applyNumberFormat="1" applyFont="1" applyBorder="1"/>
    <xf numFmtId="0" fontId="5" fillId="0" borderId="24" xfId="0" applyFont="1" applyBorder="1" applyAlignment="1">
      <alignment horizontal="center"/>
    </xf>
    <xf numFmtId="165" fontId="7" fillId="23" borderId="12" xfId="28" applyFont="1" applyFill="1" applyBorder="1"/>
    <xf numFmtId="170" fontId="7" fillId="23" borderId="12" xfId="28" applyNumberFormat="1" applyFont="1" applyFill="1" applyBorder="1" applyAlignment="1">
      <alignment horizontal="right"/>
    </xf>
    <xf numFmtId="169" fontId="7" fillId="23" borderId="12" xfId="28" applyNumberFormat="1" applyFont="1" applyFill="1" applyBorder="1" applyAlignment="1">
      <alignment horizontal="right"/>
    </xf>
    <xf numFmtId="166" fontId="7" fillId="23" borderId="12" xfId="28" applyNumberFormat="1" applyFont="1" applyFill="1" applyBorder="1"/>
    <xf numFmtId="167" fontId="11" fillId="0" borderId="25" xfId="28" applyNumberFormat="1" applyFont="1" applyBorder="1"/>
    <xf numFmtId="167" fontId="11" fillId="0" borderId="21" xfId="0" applyNumberFormat="1" applyFont="1" applyBorder="1"/>
    <xf numFmtId="168" fontId="5" fillId="0" borderId="26" xfId="28" applyNumberFormat="1" applyFont="1" applyBorder="1" applyAlignment="1">
      <alignment horizontal="center"/>
    </xf>
    <xf numFmtId="165" fontId="5" fillId="0" borderId="27" xfId="28" quotePrefix="1" applyFont="1" applyBorder="1" applyAlignment="1">
      <alignment vertical="center"/>
    </xf>
    <xf numFmtId="165" fontId="5" fillId="0" borderId="28" xfId="28" quotePrefix="1" applyFont="1" applyBorder="1" applyAlignment="1">
      <alignment vertical="center"/>
    </xf>
    <xf numFmtId="165" fontId="5" fillId="0" borderId="22" xfId="28" quotePrefix="1" applyFont="1" applyBorder="1" applyAlignment="1">
      <alignment vertical="center"/>
    </xf>
    <xf numFmtId="165" fontId="5" fillId="0" borderId="29" xfId="28" quotePrefix="1" applyFont="1" applyBorder="1" applyAlignment="1">
      <alignment vertical="center"/>
    </xf>
    <xf numFmtId="165"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6" fontId="7" fillId="0" borderId="12" xfId="28" applyNumberFormat="1" applyFont="1" applyBorder="1"/>
    <xf numFmtId="170" fontId="7" fillId="23" borderId="13" xfId="28" applyNumberFormat="1" applyFont="1" applyFill="1" applyBorder="1" applyAlignment="1">
      <alignment horizontal="right"/>
    </xf>
    <xf numFmtId="169" fontId="7" fillId="23" borderId="13" xfId="28" applyNumberFormat="1" applyFont="1" applyFill="1" applyBorder="1" applyAlignment="1">
      <alignment horizontal="right"/>
    </xf>
    <xf numFmtId="165" fontId="7" fillId="23" borderId="13" xfId="28" applyFont="1" applyFill="1" applyBorder="1"/>
    <xf numFmtId="166" fontId="7" fillId="23" borderId="13" xfId="28" applyNumberFormat="1" applyFont="1" applyFill="1" applyBorder="1"/>
    <xf numFmtId="165" fontId="5" fillId="0" borderId="30" xfId="28" quotePrefix="1" applyFont="1" applyBorder="1"/>
    <xf numFmtId="0" fontId="5" fillId="0" borderId="38" xfId="0" applyFont="1" applyBorder="1" applyAlignment="1">
      <alignment horizontal="center"/>
    </xf>
    <xf numFmtId="0" fontId="6" fillId="0" borderId="31" xfId="0" applyFont="1" applyBorder="1"/>
    <xf numFmtId="165" fontId="7" fillId="0" borderId="31" xfId="28" applyFont="1" applyBorder="1"/>
    <xf numFmtId="165" fontId="7" fillId="0" borderId="31" xfId="0" applyNumberFormat="1" applyFont="1" applyBorder="1"/>
    <xf numFmtId="166" fontId="7" fillId="0" borderId="31" xfId="28" applyNumberFormat="1" applyFont="1" applyBorder="1"/>
    <xf numFmtId="166" fontId="7" fillId="0" borderId="39" xfId="0" applyNumberFormat="1" applyFont="1" applyBorder="1"/>
    <xf numFmtId="167" fontId="11" fillId="0" borderId="40" xfId="28" applyNumberFormat="1" applyFont="1" applyBorder="1"/>
    <xf numFmtId="165" fontId="6" fillId="0" borderId="26" xfId="0" applyNumberFormat="1" applyFont="1" applyBorder="1"/>
    <xf numFmtId="166" fontId="7" fillId="0" borderId="41" xfId="0" applyNumberFormat="1" applyFont="1" applyBorder="1"/>
    <xf numFmtId="165" fontId="7" fillId="0" borderId="12" xfId="0" applyNumberFormat="1" applyFont="1" applyBorder="1"/>
    <xf numFmtId="166" fontId="7" fillId="0" borderId="42" xfId="0" applyNumberFormat="1" applyFont="1" applyBorder="1"/>
    <xf numFmtId="167" fontId="11" fillId="0" borderId="43" xfId="28" applyNumberFormat="1" applyFont="1" applyBorder="1"/>
    <xf numFmtId="165" fontId="5" fillId="0" borderId="27" xfId="28" quotePrefix="1" applyFont="1" applyBorder="1"/>
    <xf numFmtId="0" fontId="45" fillId="0" borderId="0" xfId="0" applyFont="1"/>
    <xf numFmtId="0" fontId="46" fillId="0" borderId="0" xfId="0" applyFont="1"/>
    <xf numFmtId="168" fontId="47" fillId="0" borderId="44" xfId="28" applyNumberFormat="1" applyFont="1" applyFill="1" applyBorder="1" applyAlignment="1" applyProtection="1">
      <alignment horizontal="center" vertical="center"/>
    </xf>
    <xf numFmtId="167" fontId="48" fillId="0" borderId="45" xfId="28" quotePrefix="1" applyNumberFormat="1" applyFont="1" applyFill="1" applyBorder="1" applyAlignment="1" applyProtection="1">
      <alignment horizontal="center" vertical="center"/>
    </xf>
    <xf numFmtId="168" fontId="47" fillId="0" borderId="46" xfId="28" applyNumberFormat="1" applyFont="1" applyFill="1" applyBorder="1" applyAlignment="1" applyProtection="1">
      <alignment horizontal="center"/>
    </xf>
    <xf numFmtId="166" fontId="47" fillId="0" borderId="47" xfId="28" applyNumberFormat="1" applyFont="1" applyFill="1" applyBorder="1" applyProtection="1"/>
    <xf numFmtId="166" fontId="47" fillId="0" borderId="48" xfId="28" applyNumberFormat="1" applyFont="1" applyFill="1" applyBorder="1" applyProtection="1"/>
    <xf numFmtId="168" fontId="47" fillId="0" borderId="49" xfId="28" applyNumberFormat="1" applyFont="1" applyFill="1" applyBorder="1" applyAlignment="1" applyProtection="1">
      <alignment horizontal="center"/>
    </xf>
    <xf numFmtId="166" fontId="47" fillId="0" borderId="50" xfId="28" applyNumberFormat="1" applyFont="1" applyFill="1" applyBorder="1"/>
    <xf numFmtId="166" fontId="47" fillId="0" borderId="50" xfId="28" applyNumberFormat="1" applyFont="1" applyFill="1" applyBorder="1" applyProtection="1"/>
    <xf numFmtId="166" fontId="47" fillId="0" borderId="51" xfId="28" applyNumberFormat="1" applyFont="1" applyFill="1" applyBorder="1" applyProtection="1"/>
    <xf numFmtId="173"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165" fontId="47" fillId="0" borderId="11" xfId="28" applyFont="1" applyBorder="1"/>
    <xf numFmtId="166" fontId="47" fillId="0" borderId="11" xfId="0" applyNumberFormat="1" applyFont="1" applyBorder="1"/>
    <xf numFmtId="165" fontId="47" fillId="0" borderId="11" xfId="28" applyFont="1" applyBorder="1" applyAlignment="1">
      <alignment horizontal="center"/>
    </xf>
    <xf numFmtId="166" fontId="47" fillId="0" borderId="11" xfId="28" applyNumberFormat="1" applyFont="1" applyBorder="1"/>
    <xf numFmtId="164" fontId="47" fillId="0" borderId="11" xfId="29" applyFont="1" applyBorder="1"/>
    <xf numFmtId="164" fontId="47" fillId="0" borderId="0" xfId="29" applyFont="1" applyBorder="1"/>
    <xf numFmtId="165" fontId="47" fillId="0" borderId="12" xfId="28" applyFont="1" applyBorder="1"/>
    <xf numFmtId="166" fontId="47" fillId="0" borderId="12" xfId="0" applyNumberFormat="1" applyFont="1" applyBorder="1"/>
    <xf numFmtId="165" fontId="47" fillId="0" borderId="12" xfId="28" applyFont="1" applyBorder="1" applyAlignment="1">
      <alignment horizontal="right"/>
    </xf>
    <xf numFmtId="164" fontId="47" fillId="0" borderId="12" xfId="29" applyFont="1" applyBorder="1"/>
    <xf numFmtId="170" fontId="47" fillId="0" borderId="12" xfId="28" applyNumberFormat="1" applyFont="1" applyBorder="1" applyAlignment="1">
      <alignment horizontal="right"/>
    </xf>
    <xf numFmtId="164" fontId="47" fillId="0" borderId="12" xfId="29" quotePrefix="1" applyFont="1" applyBorder="1" applyAlignment="1">
      <alignment horizontal="center"/>
    </xf>
    <xf numFmtId="165" fontId="47" fillId="0" borderId="12" xfId="28" applyFont="1" applyBorder="1" applyAlignment="1">
      <alignment horizontal="center"/>
    </xf>
    <xf numFmtId="164" fontId="47" fillId="0" borderId="12" xfId="29" applyFont="1" applyBorder="1" applyAlignment="1">
      <alignment horizontal="center"/>
    </xf>
    <xf numFmtId="164" fontId="47" fillId="0" borderId="0" xfId="29" quotePrefix="1" applyFont="1" applyBorder="1" applyAlignment="1">
      <alignment horizontal="center"/>
    </xf>
    <xf numFmtId="164" fontId="47" fillId="0" borderId="0" xfId="29" applyFont="1" applyBorder="1" applyAlignment="1">
      <alignment horizontal="center"/>
    </xf>
    <xf numFmtId="170" fontId="47" fillId="0" borderId="12" xfId="28" quotePrefix="1" applyNumberFormat="1" applyFont="1" applyBorder="1" applyAlignment="1">
      <alignment horizontal="right"/>
    </xf>
    <xf numFmtId="164" fontId="47" fillId="0" borderId="13" xfId="29" applyFont="1" applyBorder="1"/>
    <xf numFmtId="165" fontId="47" fillId="0" borderId="15" xfId="28" applyFont="1" applyBorder="1"/>
    <xf numFmtId="166" fontId="45" fillId="0" borderId="0" xfId="0" applyNumberFormat="1" applyFont="1"/>
    <xf numFmtId="165"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164"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6" fontId="47" fillId="0" borderId="15" xfId="0" applyNumberFormat="1" applyFont="1" applyBorder="1"/>
    <xf numFmtId="167"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6" fontId="47" fillId="0" borderId="0" xfId="0" applyNumberFormat="1" applyFont="1"/>
    <xf numFmtId="166" fontId="47" fillId="0" borderId="0" xfId="0" applyNumberFormat="1" applyFont="1" applyAlignment="1">
      <alignment horizontal="right"/>
    </xf>
    <xf numFmtId="166" fontId="47" fillId="0" borderId="0" xfId="28" applyNumberFormat="1" applyFont="1" applyBorder="1"/>
    <xf numFmtId="168" fontId="47" fillId="0" borderId="0" xfId="28" applyNumberFormat="1" applyFont="1" applyBorder="1" applyAlignment="1" applyProtection="1">
      <alignment horizontal="center"/>
    </xf>
    <xf numFmtId="168" fontId="48" fillId="0" borderId="44" xfId="28" applyNumberFormat="1" applyFont="1" applyFill="1" applyBorder="1" applyAlignment="1" applyProtection="1">
      <alignment horizontal="center"/>
    </xf>
    <xf numFmtId="167" fontId="48" fillId="0" borderId="45" xfId="28" quotePrefix="1" applyNumberFormat="1" applyFont="1" applyFill="1" applyBorder="1" applyAlignment="1" applyProtection="1">
      <alignment horizontal="center"/>
    </xf>
    <xf numFmtId="167" fontId="48" fillId="0" borderId="59" xfId="28" quotePrefix="1" applyNumberFormat="1" applyFont="1" applyFill="1" applyBorder="1" applyAlignment="1" applyProtection="1">
      <alignment horizontal="center"/>
    </xf>
    <xf numFmtId="166" fontId="47" fillId="0" borderId="60" xfId="28" applyNumberFormat="1" applyFont="1" applyFill="1" applyBorder="1" applyProtection="1"/>
    <xf numFmtId="166" fontId="47" fillId="0" borderId="61" xfId="28" applyNumberFormat="1" applyFont="1" applyFill="1" applyBorder="1" applyProtection="1"/>
    <xf numFmtId="168" fontId="47" fillId="0" borderId="0" xfId="28" applyNumberFormat="1" applyFont="1" applyFill="1" applyBorder="1" applyAlignment="1" applyProtection="1">
      <alignment horizontal="center"/>
    </xf>
    <xf numFmtId="166" fontId="47" fillId="0" borderId="0" xfId="28" applyNumberFormat="1" applyFont="1" applyFill="1" applyBorder="1"/>
    <xf numFmtId="168" fontId="47" fillId="0" borderId="44" xfId="28" applyNumberFormat="1" applyFont="1" applyFill="1" applyBorder="1" applyAlignment="1" applyProtection="1">
      <alignment horizontal="center"/>
    </xf>
    <xf numFmtId="167" fontId="47" fillId="0" borderId="45" xfId="28" quotePrefix="1" applyNumberFormat="1" applyFont="1" applyFill="1" applyBorder="1" applyAlignment="1" applyProtection="1">
      <alignment horizontal="center"/>
    </xf>
    <xf numFmtId="167" fontId="47" fillId="0" borderId="59" xfId="28" quotePrefix="1" applyNumberFormat="1" applyFont="1" applyFill="1" applyBorder="1" applyAlignment="1" applyProtection="1">
      <alignment horizontal="center"/>
    </xf>
    <xf numFmtId="166" fontId="47" fillId="0" borderId="47" xfId="28" applyNumberFormat="1" applyFont="1" applyFill="1" applyBorder="1"/>
    <xf numFmtId="167" fontId="48" fillId="0" borderId="52" xfId="28" quotePrefix="1" applyNumberFormat="1" applyFont="1" applyFill="1" applyBorder="1" applyAlignment="1" applyProtection="1">
      <alignment horizontal="center"/>
    </xf>
    <xf numFmtId="166" fontId="47" fillId="0" borderId="0" xfId="28" applyNumberFormat="1" applyFont="1" applyBorder="1" applyProtection="1"/>
    <xf numFmtId="166" fontId="47" fillId="0" borderId="0" xfId="28" applyNumberFormat="1" applyFont="1" applyBorder="1" applyAlignment="1" applyProtection="1">
      <alignment horizontal="left"/>
    </xf>
    <xf numFmtId="167" fontId="47" fillId="0" borderId="0" xfId="28" quotePrefix="1" applyNumberFormat="1" applyFont="1" applyBorder="1" applyAlignment="1" applyProtection="1">
      <alignment horizontal="center"/>
    </xf>
    <xf numFmtId="168" fontId="47" fillId="0" borderId="62" xfId="28" applyNumberFormat="1" applyFont="1" applyFill="1" applyBorder="1" applyAlignment="1" applyProtection="1">
      <alignment horizontal="center" vertical="center"/>
    </xf>
    <xf numFmtId="167" fontId="47" fillId="0" borderId="19" xfId="28" quotePrefix="1" applyNumberFormat="1" applyFont="1" applyFill="1" applyBorder="1" applyAlignment="1" applyProtection="1">
      <alignment horizontal="center" vertical="center"/>
    </xf>
    <xf numFmtId="167" fontId="47" fillId="0" borderId="0" xfId="28" quotePrefix="1" applyNumberFormat="1" applyFont="1" applyFill="1" applyBorder="1" applyAlignment="1" applyProtection="1">
      <alignment horizontal="center"/>
    </xf>
    <xf numFmtId="166" fontId="47" fillId="0" borderId="0" xfId="28" applyNumberFormat="1" applyFont="1" applyFill="1" applyBorder="1" applyProtection="1"/>
    <xf numFmtId="166" fontId="47" fillId="0" borderId="0" xfId="28" applyNumberFormat="1" applyFont="1" applyFill="1" applyBorder="1" applyAlignment="1" applyProtection="1">
      <alignment horizontal="left"/>
    </xf>
    <xf numFmtId="167" fontId="47" fillId="0" borderId="45" xfId="28" quotePrefix="1" applyNumberFormat="1" applyFont="1" applyFill="1" applyBorder="1" applyAlignment="1" applyProtection="1">
      <alignment horizontal="center" vertical="center"/>
    </xf>
    <xf numFmtId="167" fontId="47" fillId="0" borderId="52" xfId="28" quotePrefix="1" applyNumberFormat="1" applyFont="1" applyFill="1" applyBorder="1" applyAlignment="1" applyProtection="1">
      <alignment horizontal="center" vertical="center"/>
    </xf>
    <xf numFmtId="166" fontId="47" fillId="0" borderId="47" xfId="28" applyNumberFormat="1" applyFont="1" applyFill="1" applyBorder="1" applyAlignment="1" applyProtection="1">
      <alignment horizontal="center"/>
    </xf>
    <xf numFmtId="166" fontId="47" fillId="0" borderId="48" xfId="28" applyNumberFormat="1" applyFont="1" applyFill="1" applyBorder="1" applyAlignment="1" applyProtection="1">
      <alignment horizontal="center"/>
    </xf>
    <xf numFmtId="166" fontId="47" fillId="0" borderId="50" xfId="28" applyNumberFormat="1" applyFont="1" applyFill="1" applyBorder="1" applyAlignment="1" applyProtection="1">
      <alignment horizontal="center"/>
    </xf>
    <xf numFmtId="166"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165" fontId="50" fillId="0" borderId="12" xfId="28" quotePrefix="1" applyFont="1" applyBorder="1" applyAlignment="1">
      <alignment horizontal="center" vertical="center"/>
    </xf>
    <xf numFmtId="165" fontId="50" fillId="0" borderId="64" xfId="28" quotePrefix="1" applyFont="1" applyBorder="1"/>
    <xf numFmtId="167"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165" fontId="45" fillId="0" borderId="73" xfId="0" applyNumberFormat="1" applyFont="1" applyBorder="1" applyAlignment="1">
      <alignment horizontal="center" vertical="center"/>
    </xf>
    <xf numFmtId="165" fontId="45" fillId="0" borderId="74" xfId="0" applyNumberFormat="1" applyFont="1" applyBorder="1" applyAlignment="1">
      <alignment horizontal="center" vertical="center"/>
    </xf>
    <xf numFmtId="165" fontId="45" fillId="0" borderId="75" xfId="0" applyNumberFormat="1" applyFont="1" applyBorder="1" applyAlignment="1">
      <alignment horizontal="center" vertical="center"/>
    </xf>
    <xf numFmtId="165" fontId="45" fillId="0" borderId="76" xfId="0" applyNumberFormat="1" applyFont="1" applyBorder="1" applyAlignment="1">
      <alignment horizontal="center" vertical="center"/>
    </xf>
    <xf numFmtId="165" fontId="45" fillId="0" borderId="77" xfId="0" applyNumberFormat="1" applyFont="1" applyBorder="1" applyAlignment="1">
      <alignment horizontal="center" vertical="center"/>
    </xf>
    <xf numFmtId="165" fontId="45" fillId="0" borderId="78" xfId="0" applyNumberFormat="1" applyFont="1" applyBorder="1" applyAlignment="1">
      <alignment horizontal="center" vertical="center"/>
    </xf>
    <xf numFmtId="165" fontId="45" fillId="0" borderId="79" xfId="0" applyNumberFormat="1" applyFont="1" applyBorder="1" applyAlignment="1">
      <alignment horizontal="center" vertical="center"/>
    </xf>
    <xf numFmtId="167"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2" fontId="47" fillId="0" borderId="0" xfId="40" applyNumberFormat="1" applyFont="1" applyAlignment="1">
      <alignment horizontal="center" vertical="center"/>
    </xf>
    <xf numFmtId="171" fontId="47" fillId="0" borderId="0" xfId="40" applyNumberFormat="1" applyFont="1" applyAlignment="1">
      <alignment horizontal="center"/>
    </xf>
    <xf numFmtId="171"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2" fontId="48" fillId="0" borderId="45" xfId="40" applyNumberFormat="1" applyFont="1" applyBorder="1" applyAlignment="1">
      <alignment horizontal="center"/>
    </xf>
    <xf numFmtId="172" fontId="48" fillId="0" borderId="52" xfId="40" applyNumberFormat="1" applyFont="1" applyBorder="1" applyAlignment="1">
      <alignment horizontal="center"/>
    </xf>
    <xf numFmtId="0" fontId="47" fillId="0" borderId="46" xfId="40" applyFont="1" applyBorder="1" applyAlignment="1">
      <alignment horizontal="center"/>
    </xf>
    <xf numFmtId="166" fontId="47" fillId="0" borderId="12" xfId="40" applyNumberFormat="1" applyFont="1" applyBorder="1" applyAlignment="1">
      <alignment horizontal="center"/>
    </xf>
    <xf numFmtId="166"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6" fontId="47" fillId="0" borderId="82" xfId="40" applyNumberFormat="1" applyFont="1" applyBorder="1" applyAlignment="1">
      <alignment horizontal="center"/>
    </xf>
    <xf numFmtId="166" fontId="47" fillId="0" borderId="83" xfId="40" applyNumberFormat="1" applyFont="1" applyBorder="1" applyAlignment="1">
      <alignment horizontal="center"/>
    </xf>
    <xf numFmtId="172" fontId="48" fillId="0" borderId="0" xfId="40" applyNumberFormat="1" applyFont="1" applyAlignment="1">
      <alignment horizontal="center" vertical="center"/>
    </xf>
    <xf numFmtId="0" fontId="63" fillId="0" borderId="0" xfId="40" applyFont="1"/>
    <xf numFmtId="172" fontId="45" fillId="0" borderId="0" xfId="40" applyNumberFormat="1" applyFont="1" applyAlignment="1">
      <alignment horizontal="center"/>
    </xf>
    <xf numFmtId="171" fontId="47" fillId="0" borderId="80" xfId="40" applyNumberFormat="1" applyFont="1" applyBorder="1" applyAlignment="1">
      <alignment horizontal="center"/>
    </xf>
    <xf numFmtId="171" fontId="45" fillId="0" borderId="0" xfId="40" applyNumberFormat="1" applyFont="1" applyAlignment="1">
      <alignment horizontal="center"/>
    </xf>
    <xf numFmtId="0" fontId="45" fillId="0" borderId="0" xfId="40" applyFont="1" applyAlignment="1">
      <alignment horizontal="center"/>
    </xf>
    <xf numFmtId="171"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6" fontId="55" fillId="0" borderId="0" xfId="28" applyNumberFormat="1" applyFont="1" applyFill="1" applyBorder="1" applyAlignment="1">
      <alignment horizontal="center" vertical="center"/>
    </xf>
    <xf numFmtId="166" fontId="55" fillId="0" borderId="0" xfId="28" quotePrefix="1" applyNumberFormat="1" applyFont="1" applyFill="1" applyBorder="1" applyAlignment="1">
      <alignment horizontal="center" vertical="center"/>
    </xf>
    <xf numFmtId="165" fontId="47" fillId="29" borderId="33" xfId="28" applyFont="1" applyFill="1" applyBorder="1" applyAlignment="1">
      <alignment horizontal="center" vertical="center"/>
    </xf>
    <xf numFmtId="165"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165" fontId="47" fillId="33" borderId="11" xfId="28" applyFont="1" applyFill="1" applyBorder="1" applyAlignment="1">
      <alignment horizontal="center" vertical="center"/>
    </xf>
    <xf numFmtId="165" fontId="47" fillId="33" borderId="12" xfId="28" applyFont="1" applyFill="1" applyBorder="1" applyAlignment="1">
      <alignment horizontal="center" vertical="center"/>
    </xf>
    <xf numFmtId="165"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6"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5"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165"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165"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6" fontId="45" fillId="33" borderId="0" xfId="0" applyNumberFormat="1" applyFont="1" applyFill="1" applyAlignment="1">
      <alignment horizontal="center" vertical="center"/>
    </xf>
    <xf numFmtId="169"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6" fontId="47" fillId="33" borderId="105" xfId="0" quotePrefix="1" applyNumberFormat="1" applyFont="1" applyFill="1" applyBorder="1" applyAlignment="1">
      <alignment horizontal="center" vertical="center"/>
    </xf>
    <xf numFmtId="166"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6"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165" fontId="47" fillId="33" borderId="33" xfId="28" applyFont="1" applyFill="1" applyBorder="1" applyAlignment="1">
      <alignment vertical="center"/>
    </xf>
    <xf numFmtId="9" fontId="47" fillId="33" borderId="15" xfId="43" applyFont="1" applyFill="1" applyBorder="1" applyAlignment="1">
      <alignment vertical="center"/>
    </xf>
    <xf numFmtId="165"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165"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4" fontId="52" fillId="33" borderId="21" xfId="0" applyNumberFormat="1" applyFont="1" applyFill="1" applyBorder="1" applyAlignment="1">
      <alignment horizontal="center" vertical="center"/>
    </xf>
    <xf numFmtId="174"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165"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165" fontId="0" fillId="0" borderId="0" xfId="0" applyNumberFormat="1" applyAlignment="1">
      <alignment vertical="top" wrapText="1"/>
    </xf>
    <xf numFmtId="165"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165"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165"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165"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165"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6" fontId="47" fillId="33" borderId="64" xfId="0" applyNumberFormat="1" applyFont="1" applyFill="1" applyBorder="1" applyAlignment="1">
      <alignment horizontal="center" vertical="center"/>
    </xf>
    <xf numFmtId="174"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165" fontId="55" fillId="0" borderId="0" xfId="0" applyNumberFormat="1" applyFont="1" applyAlignment="1">
      <alignment horizontal="center" vertical="center"/>
    </xf>
    <xf numFmtId="165" fontId="42" fillId="0" borderId="0" xfId="28" applyFont="1" applyAlignment="1">
      <alignment horizontal="left"/>
    </xf>
    <xf numFmtId="174"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6" fontId="47" fillId="33" borderId="64" xfId="0" applyNumberFormat="1" applyFont="1" applyFill="1" applyBorder="1" applyAlignment="1">
      <alignment horizontal="left" vertical="center" indent="1"/>
    </xf>
    <xf numFmtId="166" fontId="47" fillId="33" borderId="65" xfId="0" applyNumberFormat="1" applyFont="1" applyFill="1" applyBorder="1" applyAlignment="1">
      <alignment horizontal="left" vertical="center" indent="1"/>
    </xf>
    <xf numFmtId="2" fontId="45" fillId="0" borderId="0" xfId="0" applyNumberFormat="1" applyFont="1"/>
    <xf numFmtId="166" fontId="47" fillId="33" borderId="64" xfId="0" quotePrefix="1" applyNumberFormat="1" applyFont="1" applyFill="1" applyBorder="1" applyAlignment="1">
      <alignment horizontal="center" vertical="center"/>
    </xf>
    <xf numFmtId="165" fontId="55" fillId="33" borderId="0" xfId="0" applyNumberFormat="1" applyFont="1" applyFill="1" applyAlignment="1">
      <alignment horizontal="center" vertical="center" shrinkToFit="1"/>
    </xf>
    <xf numFmtId="165" fontId="47" fillId="33" borderId="0" xfId="28" applyFont="1" applyFill="1" applyBorder="1" applyAlignment="1">
      <alignment horizontal="center" vertical="center"/>
    </xf>
    <xf numFmtId="165"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70"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165" fontId="55" fillId="33" borderId="0" xfId="28" applyFont="1" applyFill="1" applyBorder="1" applyAlignment="1">
      <alignment horizontal="center" vertical="center"/>
    </xf>
    <xf numFmtId="165" fontId="55" fillId="33" borderId="0" xfId="28" quotePrefix="1" applyFont="1" applyFill="1" applyBorder="1" applyAlignment="1">
      <alignment horizontal="center" vertical="center"/>
    </xf>
    <xf numFmtId="165"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2"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165" fontId="70" fillId="33" borderId="12" xfId="28" applyFont="1" applyFill="1" applyBorder="1" applyAlignment="1">
      <alignment horizontal="center" vertical="center"/>
    </xf>
    <xf numFmtId="165" fontId="70" fillId="33" borderId="19" xfId="28" applyFont="1" applyFill="1" applyBorder="1"/>
    <xf numFmtId="174" fontId="70" fillId="33" borderId="19" xfId="0" applyNumberFormat="1" applyFont="1" applyFill="1" applyBorder="1" applyAlignment="1">
      <alignment horizontal="center" vertical="center"/>
    </xf>
    <xf numFmtId="167" fontId="50" fillId="0" borderId="120" xfId="0" applyNumberFormat="1" applyFont="1" applyBorder="1"/>
    <xf numFmtId="167"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2" fontId="47" fillId="0" borderId="45" xfId="40" applyNumberFormat="1" applyFont="1" applyBorder="1" applyAlignment="1">
      <alignment horizontal="center" vertical="center"/>
    </xf>
    <xf numFmtId="172"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165" fontId="47" fillId="33" borderId="99" xfId="28" applyFont="1" applyFill="1" applyBorder="1" applyAlignment="1">
      <alignment horizontal="center" vertical="center"/>
    </xf>
    <xf numFmtId="165" fontId="47" fillId="33" borderId="19" xfId="40" applyNumberFormat="1" applyFont="1" applyFill="1" applyBorder="1" applyAlignment="1">
      <alignment vertical="center"/>
    </xf>
    <xf numFmtId="165"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2" fontId="47" fillId="26" borderId="19" xfId="40" applyNumberFormat="1" applyFont="1" applyFill="1" applyBorder="1" applyAlignment="1">
      <alignment horizontal="center" vertical="center"/>
    </xf>
    <xf numFmtId="165" fontId="47" fillId="26" borderId="19" xfId="40" applyNumberFormat="1" applyFont="1" applyFill="1" applyBorder="1" applyAlignment="1">
      <alignment vertical="center"/>
    </xf>
    <xf numFmtId="172" fontId="47" fillId="38" borderId="19" xfId="40" applyNumberFormat="1" applyFont="1" applyFill="1" applyBorder="1" applyAlignment="1">
      <alignment horizontal="center" vertical="center"/>
    </xf>
    <xf numFmtId="165" fontId="47" fillId="38" borderId="19" xfId="40" applyNumberFormat="1" applyFont="1" applyFill="1" applyBorder="1" applyAlignment="1">
      <alignment vertical="center"/>
    </xf>
    <xf numFmtId="167" fontId="47" fillId="0" borderId="123" xfId="28" quotePrefix="1" applyNumberFormat="1" applyFont="1" applyFill="1" applyBorder="1" applyAlignment="1" applyProtection="1">
      <alignment horizontal="center"/>
    </xf>
    <xf numFmtId="166" fontId="47" fillId="0" borderId="22" xfId="28" quotePrefix="1" applyNumberFormat="1" applyFont="1" applyFill="1" applyBorder="1" applyAlignment="1" applyProtection="1">
      <alignment horizontal="center"/>
    </xf>
    <xf numFmtId="166" fontId="47" fillId="0" borderId="124" xfId="28" quotePrefix="1" applyNumberFormat="1" applyFont="1" applyFill="1" applyBorder="1" applyAlignment="1" applyProtection="1">
      <alignment horizontal="center"/>
    </xf>
    <xf numFmtId="167" fontId="48" fillId="0" borderId="123" xfId="28" quotePrefix="1" applyNumberFormat="1" applyFont="1" applyFill="1" applyBorder="1" applyAlignment="1" applyProtection="1">
      <alignment horizontal="center"/>
    </xf>
    <xf numFmtId="172" fontId="47" fillId="0" borderId="125" xfId="40" applyNumberFormat="1" applyFont="1" applyBorder="1" applyAlignment="1">
      <alignment horizontal="center" vertical="center"/>
    </xf>
    <xf numFmtId="171" fontId="47" fillId="0" borderId="22" xfId="28" applyNumberFormat="1" applyFont="1" applyFill="1" applyBorder="1" applyAlignment="1" applyProtection="1">
      <alignment horizontal="center" vertical="center"/>
    </xf>
    <xf numFmtId="171"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7" fontId="48" fillId="0" borderId="59" xfId="28" quotePrefix="1" applyNumberFormat="1" applyFont="1" applyFill="1" applyBorder="1" applyAlignment="1" applyProtection="1">
      <alignment horizontal="center" vertical="center"/>
    </xf>
    <xf numFmtId="167"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6"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165" fontId="71" fillId="33" borderId="0" xfId="0" applyNumberFormat="1" applyFont="1" applyFill="1" applyAlignment="1">
      <alignment horizontal="center" vertical="center"/>
    </xf>
    <xf numFmtId="165" fontId="47" fillId="0" borderId="0" xfId="28" applyFont="1" applyFill="1" applyBorder="1" applyAlignment="1">
      <alignment horizontal="center" vertical="center"/>
    </xf>
    <xf numFmtId="165"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165" fontId="55" fillId="0" borderId="0" xfId="28" applyFont="1" applyFill="1" applyBorder="1" applyAlignment="1">
      <alignment horizontal="center" vertical="center"/>
    </xf>
    <xf numFmtId="165"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165" fontId="70" fillId="33" borderId="0" xfId="28" applyFont="1" applyFill="1" applyBorder="1" applyAlignment="1">
      <alignment horizontal="center" vertical="center"/>
    </xf>
    <xf numFmtId="165"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71" fontId="70" fillId="33" borderId="0" xfId="0" applyNumberFormat="1" applyFont="1" applyFill="1" applyAlignment="1">
      <alignment vertical="center"/>
    </xf>
    <xf numFmtId="165" fontId="71" fillId="33" borderId="0" xfId="28" applyFont="1" applyFill="1" applyBorder="1" applyAlignment="1">
      <alignment vertical="center"/>
    </xf>
    <xf numFmtId="165" fontId="71" fillId="33" borderId="0" xfId="28" applyFont="1" applyFill="1" applyBorder="1" applyAlignment="1">
      <alignment horizontal="center" vertical="center"/>
    </xf>
    <xf numFmtId="165"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71" fontId="71" fillId="33" borderId="0" xfId="0" applyNumberFormat="1" applyFont="1" applyFill="1" applyAlignment="1">
      <alignment horizontal="right" vertical="center"/>
    </xf>
    <xf numFmtId="171"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6" fontId="47" fillId="33" borderId="105" xfId="0" applyNumberFormat="1" applyFont="1" applyFill="1" applyBorder="1" applyAlignment="1">
      <alignment horizontal="left" vertical="center" indent="1"/>
    </xf>
    <xf numFmtId="166"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165"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6" fontId="47" fillId="33" borderId="65" xfId="0" applyNumberFormat="1" applyFont="1" applyFill="1" applyBorder="1" applyAlignment="1">
      <alignment horizontal="center" vertical="center"/>
    </xf>
    <xf numFmtId="166"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165"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165" fontId="48" fillId="33" borderId="11" xfId="28" applyFont="1" applyFill="1" applyBorder="1" applyAlignment="1">
      <alignment horizontal="center" vertical="center"/>
    </xf>
    <xf numFmtId="166" fontId="48" fillId="33" borderId="103" xfId="0" applyNumberFormat="1" applyFont="1" applyFill="1" applyBorder="1" applyAlignment="1">
      <alignment horizontal="left" vertical="center" indent="1"/>
    </xf>
    <xf numFmtId="166"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165" fontId="48" fillId="33" borderId="12" xfId="28" applyFont="1" applyFill="1" applyBorder="1" applyAlignment="1">
      <alignment horizontal="center" vertical="center"/>
    </xf>
    <xf numFmtId="165" fontId="48" fillId="33" borderId="12" xfId="0" applyNumberFormat="1" applyFont="1" applyFill="1" applyBorder="1" applyAlignment="1">
      <alignment horizontal="center" vertical="center"/>
    </xf>
    <xf numFmtId="165" fontId="48" fillId="33" borderId="12" xfId="28" applyFont="1" applyFill="1" applyBorder="1" applyAlignment="1">
      <alignment vertical="center"/>
    </xf>
    <xf numFmtId="176" fontId="48" fillId="0" borderId="12" xfId="47" applyNumberFormat="1" applyFont="1" applyBorder="1" applyAlignment="1">
      <alignment vertical="center"/>
    </xf>
    <xf numFmtId="166" fontId="48" fillId="0" borderId="12" xfId="49" applyNumberFormat="1" applyFont="1" applyBorder="1" applyAlignment="1">
      <alignment vertical="center"/>
    </xf>
    <xf numFmtId="177" fontId="48" fillId="0" borderId="12" xfId="47" applyNumberFormat="1" applyFont="1" applyBorder="1" applyAlignment="1">
      <alignment vertical="center"/>
    </xf>
    <xf numFmtId="166"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165" fontId="48" fillId="33" borderId="12" xfId="28" quotePrefix="1" applyFont="1" applyFill="1" applyBorder="1" applyAlignment="1">
      <alignment horizontal="center" vertical="center"/>
    </xf>
    <xf numFmtId="165" fontId="48" fillId="33" borderId="11" xfId="28" applyFont="1" applyFill="1" applyBorder="1" applyAlignment="1">
      <alignment vertical="center"/>
    </xf>
    <xf numFmtId="165" fontId="48" fillId="33" borderId="11" xfId="28" quotePrefix="1" applyFont="1" applyFill="1" applyBorder="1" applyAlignment="1">
      <alignment horizontal="center" vertical="center"/>
    </xf>
    <xf numFmtId="165" fontId="48" fillId="33" borderId="12" xfId="28" quotePrefix="1" applyFont="1" applyFill="1" applyBorder="1" applyAlignment="1">
      <alignment vertical="center"/>
    </xf>
    <xf numFmtId="165"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6" fontId="48" fillId="33" borderId="93" xfId="0" applyNumberFormat="1" applyFont="1" applyFill="1" applyBorder="1" applyAlignment="1">
      <alignment horizontal="center" vertical="center"/>
    </xf>
    <xf numFmtId="166"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165" fontId="48" fillId="33" borderId="33" xfId="28" applyFont="1" applyFill="1" applyBorder="1" applyAlignment="1">
      <alignment vertical="center"/>
    </xf>
    <xf numFmtId="166"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6" fontId="47" fillId="0" borderId="29" xfId="28" quotePrefix="1" applyNumberFormat="1" applyFont="1" applyFill="1" applyBorder="1" applyAlignment="1" applyProtection="1">
      <alignment horizontal="center"/>
    </xf>
    <xf numFmtId="167"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7" fontId="50" fillId="0" borderId="12" xfId="28" applyNumberFormat="1" applyFont="1" applyBorder="1" applyAlignment="1">
      <alignment vertical="center"/>
    </xf>
    <xf numFmtId="165" fontId="50" fillId="0" borderId="12" xfId="28" applyFont="1" applyBorder="1" applyAlignment="1">
      <alignment vertical="center"/>
    </xf>
    <xf numFmtId="165" fontId="50" fillId="0" borderId="12" xfId="28" applyFont="1" applyBorder="1" applyAlignment="1">
      <alignment horizontal="center" vertical="center"/>
    </xf>
    <xf numFmtId="166" fontId="50" fillId="0" borderId="12" xfId="28" applyNumberFormat="1" applyFont="1" applyBorder="1" applyAlignment="1">
      <alignment horizontal="center" vertical="center"/>
    </xf>
    <xf numFmtId="165" fontId="50" fillId="0" borderId="12" xfId="0" applyNumberFormat="1" applyFont="1" applyBorder="1" applyAlignment="1">
      <alignment vertical="center"/>
    </xf>
    <xf numFmtId="166" fontId="50" fillId="0" borderId="12" xfId="28" applyNumberFormat="1" applyFont="1" applyBorder="1" applyAlignment="1">
      <alignment vertical="center"/>
    </xf>
    <xf numFmtId="166"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7" fontId="50" fillId="0" borderId="13" xfId="28" applyNumberFormat="1" applyFont="1" applyBorder="1" applyAlignment="1">
      <alignment vertical="center"/>
    </xf>
    <xf numFmtId="165" fontId="50" fillId="33" borderId="13" xfId="28" applyFont="1" applyFill="1" applyBorder="1" applyAlignment="1">
      <alignment vertical="center"/>
    </xf>
    <xf numFmtId="166" fontId="50" fillId="0" borderId="13" xfId="28" applyNumberFormat="1" applyFont="1" applyBorder="1" applyAlignment="1">
      <alignment vertical="center"/>
    </xf>
    <xf numFmtId="165"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165" fontId="50" fillId="0" borderId="15" xfId="0" applyNumberFormat="1" applyFont="1" applyBorder="1" applyAlignment="1">
      <alignment horizontal="center" vertical="center"/>
    </xf>
    <xf numFmtId="165" fontId="50" fillId="0" borderId="15" xfId="28" applyFont="1" applyBorder="1" applyAlignment="1">
      <alignment vertical="center"/>
    </xf>
    <xf numFmtId="166" fontId="50" fillId="0" borderId="15" xfId="28" applyNumberFormat="1" applyFont="1" applyBorder="1" applyAlignment="1">
      <alignment vertical="center"/>
    </xf>
    <xf numFmtId="167"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7" fontId="47" fillId="0" borderId="12" xfId="28" applyNumberFormat="1" applyFont="1" applyFill="1" applyBorder="1" applyAlignment="1">
      <alignment vertical="center"/>
    </xf>
    <xf numFmtId="166" fontId="47" fillId="0" borderId="12" xfId="28" applyNumberFormat="1" applyFont="1" applyFill="1" applyBorder="1" applyAlignment="1">
      <alignment vertical="center"/>
    </xf>
    <xf numFmtId="165" fontId="47" fillId="0" borderId="12" xfId="28" applyFont="1" applyFill="1" applyBorder="1" applyAlignment="1">
      <alignment horizontal="right" vertical="center"/>
    </xf>
    <xf numFmtId="165" fontId="47" fillId="0" borderId="12" xfId="28" applyFont="1" applyFill="1" applyBorder="1" applyAlignment="1">
      <alignment vertical="center"/>
    </xf>
    <xf numFmtId="166" fontId="47" fillId="0" borderId="12" xfId="0" applyNumberFormat="1" applyFont="1" applyBorder="1" applyAlignment="1">
      <alignment vertical="center"/>
    </xf>
    <xf numFmtId="167" fontId="47" fillId="0" borderId="64" xfId="0" applyNumberFormat="1" applyFont="1" applyBorder="1" applyAlignment="1">
      <alignment horizontal="center" vertical="center"/>
    </xf>
    <xf numFmtId="165" fontId="47" fillId="0" borderId="12" xfId="28" applyFont="1" applyFill="1" applyBorder="1" applyAlignment="1">
      <alignment horizontal="center" vertical="center"/>
    </xf>
    <xf numFmtId="166"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7" fontId="47" fillId="0" borderId="13" xfId="28" applyNumberFormat="1" applyFont="1" applyFill="1" applyBorder="1" applyAlignment="1">
      <alignment vertical="center"/>
    </xf>
    <xf numFmtId="166" fontId="47" fillId="33" borderId="13" xfId="28" applyNumberFormat="1" applyFont="1" applyFill="1" applyBorder="1" applyAlignment="1">
      <alignment vertical="center"/>
    </xf>
    <xf numFmtId="165" fontId="47" fillId="0" borderId="13" xfId="28" applyFont="1" applyFill="1" applyBorder="1" applyAlignment="1">
      <alignment vertical="center"/>
    </xf>
    <xf numFmtId="166" fontId="47" fillId="0" borderId="13" xfId="0" applyNumberFormat="1" applyFont="1" applyBorder="1" applyAlignment="1">
      <alignment vertical="center"/>
    </xf>
    <xf numFmtId="166" fontId="47" fillId="0" borderId="13" xfId="0" applyNumberFormat="1" applyFont="1" applyBorder="1" applyAlignment="1">
      <alignment horizontal="center" vertical="center"/>
    </xf>
    <xf numFmtId="165"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6" fontId="47" fillId="0" borderId="15" xfId="0" applyNumberFormat="1" applyFont="1" applyBorder="1" applyAlignment="1">
      <alignment horizontal="center" vertical="center"/>
    </xf>
    <xf numFmtId="0" fontId="47" fillId="0" borderId="15" xfId="0" applyFont="1" applyBorder="1" applyAlignment="1">
      <alignment vertical="center"/>
    </xf>
    <xf numFmtId="167"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165" fontId="52" fillId="0" borderId="0" xfId="0" applyNumberFormat="1" applyFont="1" applyAlignment="1">
      <alignment horizontal="center" vertical="center"/>
    </xf>
    <xf numFmtId="39" fontId="52" fillId="0" borderId="0" xfId="0" applyNumberFormat="1" applyFont="1" applyAlignment="1">
      <alignment horizontal="center" vertical="center"/>
    </xf>
    <xf numFmtId="171" fontId="52" fillId="0" borderId="0" xfId="0" applyNumberFormat="1" applyFont="1" applyAlignment="1">
      <alignment horizontal="center" vertical="center"/>
    </xf>
    <xf numFmtId="165" fontId="52" fillId="33" borderId="0" xfId="0" applyNumberFormat="1" applyFont="1" applyFill="1" applyAlignment="1">
      <alignment horizontal="center" vertical="center"/>
    </xf>
    <xf numFmtId="171" fontId="52" fillId="33" borderId="0" xfId="0" applyNumberFormat="1" applyFont="1" applyFill="1" applyAlignment="1">
      <alignment horizontal="center" vertical="center"/>
    </xf>
    <xf numFmtId="165"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165"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6" fontId="47" fillId="33" borderId="12" xfId="28" applyNumberFormat="1" applyFont="1" applyFill="1" applyBorder="1" applyAlignment="1">
      <alignment vertical="center"/>
    </xf>
    <xf numFmtId="165" fontId="50" fillId="33" borderId="12" xfId="28" applyFont="1" applyFill="1" applyBorder="1" applyAlignment="1">
      <alignment vertical="center"/>
    </xf>
    <xf numFmtId="176" fontId="55" fillId="33" borderId="0" xfId="0" applyNumberFormat="1" applyFont="1" applyFill="1" applyAlignment="1">
      <alignment horizontal="center" vertical="center"/>
    </xf>
    <xf numFmtId="165"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165" fontId="47" fillId="33" borderId="12" xfId="28" quotePrefix="1" applyFont="1" applyFill="1" applyBorder="1" applyAlignment="1">
      <alignment vertical="center"/>
    </xf>
    <xf numFmtId="165" fontId="47" fillId="33" borderId="11" xfId="28" quotePrefix="1" applyFont="1" applyFill="1" applyBorder="1" applyAlignment="1">
      <alignment vertical="center"/>
    </xf>
    <xf numFmtId="165" fontId="70" fillId="33" borderId="12" xfId="28" applyFont="1" applyFill="1" applyBorder="1" applyAlignment="1">
      <alignment vertical="center"/>
    </xf>
    <xf numFmtId="2" fontId="72" fillId="33" borderId="12" xfId="0" applyNumberFormat="1" applyFont="1" applyFill="1" applyBorder="1"/>
    <xf numFmtId="165" fontId="47" fillId="33" borderId="16" xfId="28" applyFont="1" applyFill="1" applyBorder="1" applyAlignment="1">
      <alignment vertical="center"/>
    </xf>
    <xf numFmtId="166"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80" fontId="47" fillId="33" borderId="16" xfId="0" applyNumberFormat="1" applyFont="1" applyFill="1" applyBorder="1" applyAlignment="1">
      <alignment horizontal="right" vertical="center"/>
    </xf>
    <xf numFmtId="165"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71" fontId="52" fillId="33" borderId="12" xfId="0" applyNumberFormat="1" applyFont="1" applyFill="1" applyBorder="1" applyAlignment="1">
      <alignment horizontal="center"/>
    </xf>
    <xf numFmtId="165" fontId="55" fillId="33" borderId="12" xfId="28" applyFont="1" applyFill="1" applyBorder="1" applyAlignment="1">
      <alignment vertical="center"/>
    </xf>
    <xf numFmtId="165" fontId="55" fillId="33" borderId="12" xfId="28" quotePrefix="1" applyFont="1" applyFill="1" applyBorder="1" applyAlignment="1">
      <alignment vertical="center"/>
    </xf>
    <xf numFmtId="165" fontId="55" fillId="33" borderId="11" xfId="28" quotePrefix="1" applyFont="1" applyFill="1" applyBorder="1" applyAlignment="1">
      <alignment vertical="center"/>
    </xf>
    <xf numFmtId="165" fontId="55" fillId="33" borderId="12" xfId="0" applyNumberFormat="1" applyFont="1" applyFill="1" applyBorder="1" applyAlignment="1">
      <alignment vertical="center"/>
    </xf>
    <xf numFmtId="166"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71" fontId="7" fillId="33" borderId="12" xfId="0" applyNumberFormat="1" applyFont="1" applyFill="1" applyBorder="1" applyAlignment="1">
      <alignment horizontal="center" vertical="center"/>
    </xf>
    <xf numFmtId="165" fontId="55" fillId="33" borderId="12" xfId="28" applyFont="1" applyFill="1" applyBorder="1" applyAlignment="1">
      <alignment horizontal="center" vertical="center"/>
    </xf>
    <xf numFmtId="165" fontId="55" fillId="33" borderId="12" xfId="28" quotePrefix="1" applyFont="1" applyFill="1" applyBorder="1" applyAlignment="1">
      <alignment horizontal="center" vertical="center"/>
    </xf>
    <xf numFmtId="165" fontId="55" fillId="33" borderId="11" xfId="28" quotePrefix="1" applyFont="1" applyFill="1" applyBorder="1" applyAlignment="1">
      <alignment horizontal="center" vertical="center"/>
    </xf>
    <xf numFmtId="165" fontId="55" fillId="33" borderId="12" xfId="0" applyNumberFormat="1" applyFont="1" applyFill="1" applyBorder="1" applyAlignment="1">
      <alignment horizontal="center" vertical="center"/>
    </xf>
    <xf numFmtId="176" fontId="55" fillId="33" borderId="12" xfId="0" applyNumberFormat="1" applyFont="1" applyFill="1" applyBorder="1" applyAlignment="1">
      <alignment horizontal="center" vertical="center"/>
    </xf>
    <xf numFmtId="165" fontId="71" fillId="33" borderId="12" xfId="0" applyNumberFormat="1" applyFont="1" applyFill="1" applyBorder="1" applyAlignment="1">
      <alignment vertical="center"/>
    </xf>
    <xf numFmtId="171" fontId="55" fillId="33" borderId="12" xfId="28" applyNumberFormat="1" applyFont="1" applyFill="1" applyBorder="1" applyAlignment="1">
      <alignment horizontal="center" vertical="center"/>
    </xf>
    <xf numFmtId="176" fontId="55" fillId="33" borderId="12" xfId="28" quotePrefix="1" applyNumberFormat="1" applyFont="1" applyFill="1" applyBorder="1" applyAlignment="1">
      <alignment horizontal="center" vertical="center"/>
    </xf>
    <xf numFmtId="176" fontId="55" fillId="33" borderId="12" xfId="28" applyNumberFormat="1" applyFont="1" applyFill="1" applyBorder="1" applyAlignment="1">
      <alignment horizontal="center" vertical="center"/>
    </xf>
    <xf numFmtId="165" fontId="71" fillId="33" borderId="12" xfId="0" applyNumberFormat="1" applyFont="1" applyFill="1" applyBorder="1" applyAlignment="1">
      <alignment horizontal="center" vertical="center"/>
    </xf>
    <xf numFmtId="171" fontId="52" fillId="33" borderId="11" xfId="0" applyNumberFormat="1" applyFont="1" applyFill="1" applyBorder="1" applyAlignment="1">
      <alignment horizontal="center"/>
    </xf>
    <xf numFmtId="165" fontId="47" fillId="33" borderId="0" xfId="28" applyFont="1" applyFill="1" applyBorder="1" applyAlignment="1">
      <alignment vertical="center"/>
    </xf>
    <xf numFmtId="165" fontId="47" fillId="33" borderId="0" xfId="0" applyNumberFormat="1" applyFont="1" applyFill="1" applyAlignment="1">
      <alignment vertical="center"/>
    </xf>
    <xf numFmtId="165" fontId="48" fillId="27" borderId="11" xfId="28" applyFont="1" applyFill="1" applyBorder="1" applyAlignment="1">
      <alignment horizontal="center" vertical="center"/>
    </xf>
    <xf numFmtId="165"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71" fontId="48" fillId="27" borderId="12" xfId="0" applyNumberFormat="1" applyFont="1" applyFill="1" applyBorder="1" applyAlignment="1">
      <alignment vertical="center"/>
    </xf>
    <xf numFmtId="165"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71" fontId="82" fillId="27" borderId="12" xfId="0" applyNumberFormat="1" applyFont="1" applyFill="1" applyBorder="1" applyAlignment="1">
      <alignment horizontal="right" vertical="center"/>
    </xf>
    <xf numFmtId="171" fontId="48" fillId="27" borderId="12" xfId="0" applyNumberFormat="1" applyFont="1" applyFill="1" applyBorder="1" applyAlignment="1">
      <alignment horizontal="right" vertical="center"/>
    </xf>
    <xf numFmtId="166" fontId="82" fillId="27" borderId="12" xfId="28" applyNumberFormat="1" applyFont="1" applyFill="1" applyBorder="1" applyAlignment="1">
      <alignment horizontal="center" vertical="center"/>
    </xf>
    <xf numFmtId="166" fontId="82" fillId="27" borderId="12" xfId="28" quotePrefix="1" applyNumberFormat="1" applyFont="1" applyFill="1" applyBorder="1" applyAlignment="1">
      <alignment horizontal="center" vertical="center"/>
    </xf>
    <xf numFmtId="166" fontId="82" fillId="27" borderId="11" xfId="28" quotePrefix="1" applyNumberFormat="1" applyFont="1" applyFill="1" applyBorder="1" applyAlignment="1">
      <alignment horizontal="center" vertical="center"/>
    </xf>
    <xf numFmtId="166" fontId="82" fillId="27" borderId="12" xfId="0" applyNumberFormat="1" applyFont="1" applyFill="1" applyBorder="1" applyAlignment="1">
      <alignment horizontal="center" vertical="center"/>
    </xf>
    <xf numFmtId="165" fontId="48" fillId="33" borderId="97" xfId="28" applyFont="1" applyFill="1" applyBorder="1" applyAlignment="1">
      <alignment horizontal="center" vertical="center"/>
    </xf>
    <xf numFmtId="165"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71" fontId="48" fillId="33" borderId="97" xfId="0" applyNumberFormat="1" applyFont="1" applyFill="1" applyBorder="1" applyAlignment="1">
      <alignment vertical="center"/>
    </xf>
    <xf numFmtId="165" fontId="82" fillId="33" borderId="97" xfId="28" applyFont="1" applyFill="1" applyBorder="1" applyAlignment="1">
      <alignment vertical="center"/>
    </xf>
    <xf numFmtId="171" fontId="55" fillId="33" borderId="0" xfId="28" applyNumberFormat="1" applyFont="1" applyFill="1" applyBorder="1" applyAlignment="1">
      <alignment horizontal="center" vertical="center"/>
    </xf>
    <xf numFmtId="165" fontId="82" fillId="33" borderId="97" xfId="28" applyFont="1" applyFill="1" applyBorder="1" applyAlignment="1">
      <alignment horizontal="center" vertical="center"/>
    </xf>
    <xf numFmtId="165" fontId="82" fillId="33" borderId="97" xfId="28" quotePrefix="1" applyFont="1" applyFill="1" applyBorder="1" applyAlignment="1">
      <alignment horizontal="center" vertical="center"/>
    </xf>
    <xf numFmtId="176" fontId="55" fillId="33" borderId="0" xfId="28" quotePrefix="1" applyNumberFormat="1" applyFont="1" applyFill="1" applyBorder="1" applyAlignment="1">
      <alignment horizontal="center" vertical="center"/>
    </xf>
    <xf numFmtId="165" fontId="82" fillId="33" borderId="97" xfId="0" applyNumberFormat="1" applyFont="1" applyFill="1" applyBorder="1" applyAlignment="1">
      <alignment horizontal="center" vertical="center"/>
    </xf>
    <xf numFmtId="176"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71" fontId="82" fillId="33" borderId="97" xfId="0" applyNumberFormat="1" applyFont="1" applyFill="1" applyBorder="1" applyAlignment="1">
      <alignment horizontal="right" vertical="center"/>
    </xf>
    <xf numFmtId="171"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165" fontId="89" fillId="27" borderId="0" xfId="0" applyNumberFormat="1" applyFont="1" applyFill="1" applyAlignment="1">
      <alignment horizontal="center" vertical="center"/>
    </xf>
    <xf numFmtId="166" fontId="48" fillId="33" borderId="80" xfId="0" applyNumberFormat="1" applyFont="1" applyFill="1" applyBorder="1" applyAlignment="1">
      <alignment horizontal="center" vertical="center" wrapText="1"/>
    </xf>
    <xf numFmtId="165" fontId="52" fillId="0" borderId="97" xfId="0" applyNumberFormat="1" applyFont="1" applyBorder="1" applyAlignment="1">
      <alignment horizontal="center" vertical="center"/>
    </xf>
    <xf numFmtId="165"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71"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165"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71" fontId="47" fillId="33" borderId="0" xfId="40" applyNumberFormat="1" applyFont="1" applyFill="1" applyAlignment="1">
      <alignment horizontal="center"/>
    </xf>
    <xf numFmtId="181"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165"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6" fontId="48" fillId="0" borderId="11" xfId="47" applyNumberFormat="1" applyFont="1" applyBorder="1" applyAlignment="1">
      <alignment vertical="center"/>
    </xf>
    <xf numFmtId="177"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165" fontId="82" fillId="27" borderId="11" xfId="28" applyFont="1" applyFill="1" applyBorder="1" applyAlignment="1">
      <alignment vertical="center"/>
    </xf>
    <xf numFmtId="166"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165" fontId="47" fillId="33" borderId="12" xfId="28" applyFont="1" applyFill="1" applyBorder="1" applyAlignment="1">
      <alignment horizontal="right" vertical="center"/>
    </xf>
    <xf numFmtId="165"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71"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7" fontId="47" fillId="0" borderId="12" xfId="28" applyNumberFormat="1" applyFont="1" applyBorder="1" applyAlignment="1">
      <alignment vertical="center"/>
    </xf>
    <xf numFmtId="165" fontId="47" fillId="0" borderId="11" xfId="28" applyFont="1" applyBorder="1" applyAlignment="1">
      <alignment vertical="center"/>
    </xf>
    <xf numFmtId="165" fontId="47" fillId="0" borderId="12" xfId="28" applyFont="1" applyBorder="1" applyAlignment="1">
      <alignment vertical="center"/>
    </xf>
    <xf numFmtId="165" fontId="47" fillId="0" borderId="12" xfId="0" applyNumberFormat="1" applyFont="1" applyBorder="1" applyAlignment="1">
      <alignment vertical="center"/>
    </xf>
    <xf numFmtId="166"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7" fontId="47" fillId="27" borderId="64" xfId="0" applyNumberFormat="1" applyFont="1" applyFill="1" applyBorder="1" applyAlignment="1">
      <alignment horizontal="center" vertical="center"/>
    </xf>
    <xf numFmtId="166"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71"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165" fontId="82" fillId="33" borderId="11" xfId="28" applyFont="1" applyFill="1" applyBorder="1" applyAlignment="1">
      <alignment vertical="center"/>
    </xf>
    <xf numFmtId="166" fontId="82" fillId="33" borderId="12" xfId="28" applyNumberFormat="1" applyFont="1" applyFill="1" applyBorder="1" applyAlignment="1">
      <alignment horizontal="center" vertical="center"/>
    </xf>
    <xf numFmtId="166" fontId="82" fillId="33" borderId="12" xfId="28" quotePrefix="1" applyNumberFormat="1" applyFont="1" applyFill="1" applyBorder="1" applyAlignment="1">
      <alignment horizontal="center" vertical="center"/>
    </xf>
    <xf numFmtId="166" fontId="82" fillId="33" borderId="11" xfId="28" quotePrefix="1" applyNumberFormat="1" applyFont="1" applyFill="1" applyBorder="1" applyAlignment="1">
      <alignment horizontal="center" vertical="center"/>
    </xf>
    <xf numFmtId="166" fontId="82" fillId="33" borderId="12" xfId="0" applyNumberFormat="1" applyFont="1" applyFill="1" applyBorder="1" applyAlignment="1">
      <alignment horizontal="center" vertical="center"/>
    </xf>
    <xf numFmtId="165"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71" fontId="82" fillId="33" borderId="12" xfId="0" applyNumberFormat="1" applyFont="1" applyFill="1" applyBorder="1" applyAlignment="1">
      <alignment horizontal="right" vertical="center"/>
    </xf>
    <xf numFmtId="171"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165" fontId="82" fillId="33" borderId="0" xfId="0" applyNumberFormat="1" applyFont="1" applyFill="1" applyAlignment="1">
      <alignment horizontal="center" vertical="center"/>
    </xf>
    <xf numFmtId="39" fontId="48" fillId="33" borderId="0" xfId="0" applyNumberFormat="1" applyFont="1" applyFill="1" applyAlignment="1">
      <alignment vertical="center" shrinkToFit="1"/>
    </xf>
    <xf numFmtId="171" fontId="82" fillId="33" borderId="0" xfId="0" applyNumberFormat="1" applyFont="1" applyFill="1" applyAlignment="1">
      <alignment horizontal="right" vertical="center"/>
    </xf>
    <xf numFmtId="171" fontId="48" fillId="33" borderId="0" xfId="0" applyNumberFormat="1" applyFont="1" applyFill="1" applyAlignment="1">
      <alignment horizontal="right"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 fillId="0" borderId="97" xfId="40" applyFont="1" applyBorder="1" applyAlignment="1">
      <alignment horizontal="left"/>
    </xf>
    <xf numFmtId="0" fontId="5" fillId="0" borderId="0" xfId="40" applyFont="1" applyAlignment="1">
      <alignment horizontal="left"/>
    </xf>
    <xf numFmtId="0" fontId="50" fillId="0" borderId="0" xfId="0" applyFont="1" applyAlignment="1">
      <alignment horizontal="center" vertical="center"/>
    </xf>
    <xf numFmtId="0" fontId="67" fillId="0" borderId="0" xfId="0" applyFont="1" applyAlignment="1">
      <alignment horizontal="center"/>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8">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74357376"/>
        <c:axId val="74367744"/>
      </c:lineChart>
      <c:catAx>
        <c:axId val="7435737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74367744"/>
        <c:crosses val="autoZero"/>
        <c:auto val="0"/>
        <c:lblAlgn val="ctr"/>
        <c:lblOffset val="100"/>
        <c:tickLblSkip val="1"/>
        <c:tickMarkSkip val="1"/>
        <c:noMultiLvlLbl val="0"/>
      </c:catAx>
      <c:valAx>
        <c:axId val="74367744"/>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7435737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1287.47</c:v>
                </c:pt>
                <c:pt idx="102">
                  <c:v>1292.76</c:v>
                </c:pt>
                <c:pt idx="103">
                  <c:v>1294.27</c:v>
                </c:pt>
                <c:pt idx="104">
                  <c:v>1313.63</c:v>
                </c:pt>
                <c:pt idx="105">
                  <c:v>1328.9</c:v>
                </c:pt>
                <c:pt idx="106">
                  <c:v>1324.31</c:v>
                </c:pt>
                <c:pt idx="107">
                  <c:v>1334.7</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81607680"/>
        <c:axId val="81646336"/>
      </c:lineChart>
      <c:dateAx>
        <c:axId val="8160768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1646336"/>
        <c:crosses val="autoZero"/>
        <c:auto val="0"/>
        <c:lblOffset val="100"/>
        <c:baseTimeUnit val="days"/>
        <c:majorUnit val="1"/>
        <c:majorTimeUnit val="months"/>
        <c:minorUnit val="1"/>
        <c:minorTimeUnit val="months"/>
      </c:dateAx>
      <c:valAx>
        <c:axId val="8164633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8160768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83049472"/>
        <c:axId val="8305574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83049472"/>
        <c:axId val="83055744"/>
      </c:lineChart>
      <c:catAx>
        <c:axId val="8304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3055744"/>
        <c:crosses val="autoZero"/>
        <c:auto val="0"/>
        <c:lblAlgn val="ctr"/>
        <c:lblOffset val="100"/>
        <c:tickLblSkip val="1"/>
        <c:tickMarkSkip val="1"/>
        <c:noMultiLvlLbl val="0"/>
      </c:catAx>
      <c:valAx>
        <c:axId val="8305574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8304947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26.765999999999998</c:v>
                </c:pt>
                <c:pt idx="1">
                  <c:v>28.387</c:v>
                </c:pt>
                <c:pt idx="2">
                  <c:v>45.993000000000002</c:v>
                </c:pt>
                <c:pt idx="3">
                  <c:v>582.31799999999998</c:v>
                </c:pt>
                <c:pt idx="4">
                  <c:v>361.34500000000003</c:v>
                </c:pt>
                <c:pt idx="5">
                  <c:v>22.45</c:v>
                </c:pt>
                <c:pt idx="6">
                  <c:v>221.56</c:v>
                </c:pt>
                <c:pt idx="7">
                  <c:v>4.7830000000000004</c:v>
                </c:pt>
                <c:pt idx="8">
                  <c:v>23.12</c:v>
                </c:pt>
                <c:pt idx="9">
                  <c:v>19.395</c:v>
                </c:pt>
                <c:pt idx="10">
                  <c:v>9.85</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28.684999999999999</c:v>
                </c:pt>
                <c:pt idx="1">
                  <c:v>48.369</c:v>
                </c:pt>
                <c:pt idx="2">
                  <c:v>45.558</c:v>
                </c:pt>
                <c:pt idx="3">
                  <c:v>522.17200000000003</c:v>
                </c:pt>
                <c:pt idx="4">
                  <c:v>294.89999999999998</c:v>
                </c:pt>
                <c:pt idx="5">
                  <c:v>27.08</c:v>
                </c:pt>
                <c:pt idx="6">
                  <c:v>224.35</c:v>
                </c:pt>
                <c:pt idx="7">
                  <c:v>13.763</c:v>
                </c:pt>
                <c:pt idx="8">
                  <c:v>25.443999999999999</c:v>
                </c:pt>
                <c:pt idx="9">
                  <c:v>19.542999999999999</c:v>
                </c:pt>
                <c:pt idx="10">
                  <c:v>15.54</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24559744"/>
        <c:axId val="12456166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55.34</c:v>
                </c:pt>
                <c:pt idx="1">
                  <c:v>77.400000000000006</c:v>
                </c:pt>
                <c:pt idx="2">
                  <c:v>462.88</c:v>
                </c:pt>
                <c:pt idx="3">
                  <c:v>86.48</c:v>
                </c:pt>
                <c:pt idx="4">
                  <c:v>134.69999999999999</c:v>
                </c:pt>
                <c:pt idx="5">
                  <c:v>68.14</c:v>
                </c:pt>
                <c:pt idx="6">
                  <c:v>167.82</c:v>
                </c:pt>
                <c:pt idx="7">
                  <c:v>230.52</c:v>
                </c:pt>
                <c:pt idx="8">
                  <c:v>185.13</c:v>
                </c:pt>
                <c:pt idx="9">
                  <c:v>88.6</c:v>
                </c:pt>
                <c:pt idx="10">
                  <c:v>149.46</c:v>
                </c:pt>
              </c:numCache>
            </c:numRef>
          </c:cat>
          <c:val>
            <c:numRef>
              <c:f>'RINCI 1'!$F$9:$F$19</c:f>
              <c:numCache>
                <c:formatCode>_(* #,##0.00_);_(* \(#,##0.00\);_(* "-"??_);_(@_)</c:formatCode>
                <c:ptCount val="11"/>
                <c:pt idx="0">
                  <c:v>55</c:v>
                </c:pt>
                <c:pt idx="1">
                  <c:v>73.86</c:v>
                </c:pt>
                <c:pt idx="2">
                  <c:v>462.9</c:v>
                </c:pt>
                <c:pt idx="3">
                  <c:v>87.83</c:v>
                </c:pt>
                <c:pt idx="4">
                  <c:v>135.91999999999999</c:v>
                </c:pt>
                <c:pt idx="5">
                  <c:v>65.72</c:v>
                </c:pt>
                <c:pt idx="6">
                  <c:v>167.5</c:v>
                </c:pt>
                <c:pt idx="7">
                  <c:v>228.79</c:v>
                </c:pt>
                <c:pt idx="8">
                  <c:v>184</c:v>
                </c:pt>
                <c:pt idx="9">
                  <c:v>88.5</c:v>
                </c:pt>
                <c:pt idx="10">
                  <c:v>148.24</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55.34</c:v>
                </c:pt>
                <c:pt idx="1">
                  <c:v>77.400000000000006</c:v>
                </c:pt>
                <c:pt idx="2">
                  <c:v>462.88</c:v>
                </c:pt>
                <c:pt idx="3">
                  <c:v>86.48</c:v>
                </c:pt>
                <c:pt idx="4">
                  <c:v>134.69999999999999</c:v>
                </c:pt>
                <c:pt idx="5">
                  <c:v>68.14</c:v>
                </c:pt>
                <c:pt idx="6">
                  <c:v>167.82</c:v>
                </c:pt>
                <c:pt idx="7">
                  <c:v>230.52</c:v>
                </c:pt>
                <c:pt idx="8">
                  <c:v>185.13</c:v>
                </c:pt>
                <c:pt idx="9">
                  <c:v>88.6</c:v>
                </c:pt>
                <c:pt idx="10">
                  <c:v>149.46</c:v>
                </c:pt>
              </c:numCache>
            </c:numRef>
          </c:cat>
          <c:val>
            <c:numRef>
              <c:f>'RINCI 1'!$G$9:$G$19</c:f>
              <c:numCache>
                <c:formatCode>_(* #,##0.00_);_(* \(#,##0.00\);_(* "-"??_);_(@_)</c:formatCode>
                <c:ptCount val="11"/>
                <c:pt idx="0">
                  <c:v>55.34</c:v>
                </c:pt>
                <c:pt idx="1">
                  <c:v>77.400000000000006</c:v>
                </c:pt>
                <c:pt idx="2">
                  <c:v>462.88</c:v>
                </c:pt>
                <c:pt idx="3">
                  <c:v>86.48</c:v>
                </c:pt>
                <c:pt idx="4">
                  <c:v>134.69999999999999</c:v>
                </c:pt>
                <c:pt idx="5">
                  <c:v>68.14</c:v>
                </c:pt>
                <c:pt idx="6">
                  <c:v>167.82</c:v>
                </c:pt>
                <c:pt idx="7">
                  <c:v>230.52</c:v>
                </c:pt>
                <c:pt idx="8">
                  <c:v>185.13</c:v>
                </c:pt>
                <c:pt idx="9">
                  <c:v>88.6</c:v>
                </c:pt>
                <c:pt idx="10">
                  <c:v>149.46</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24563840"/>
        <c:axId val="124565760"/>
      </c:lineChart>
      <c:catAx>
        <c:axId val="12455974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24561664"/>
        <c:crossesAt val="10"/>
        <c:auto val="0"/>
        <c:lblAlgn val="ctr"/>
        <c:lblOffset val="100"/>
        <c:tickLblSkip val="1"/>
        <c:tickMarkSkip val="1"/>
        <c:noMultiLvlLbl val="0"/>
      </c:catAx>
      <c:valAx>
        <c:axId val="12456166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24559744"/>
        <c:crosses val="autoZero"/>
        <c:crossBetween val="between"/>
        <c:majorUnit val="50"/>
      </c:valAx>
      <c:catAx>
        <c:axId val="12456384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24565760"/>
        <c:crosses val="autoZero"/>
        <c:auto val="0"/>
        <c:lblAlgn val="ctr"/>
        <c:lblOffset val="100"/>
        <c:noMultiLvlLbl val="0"/>
      </c:catAx>
      <c:valAx>
        <c:axId val="124565760"/>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456384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1BK'!$H$9:$H$10</c:f>
              <c:numCache>
                <c:formatCode>_(* #,##0.000_);_(* \(#,##0.000\);_(* "-"??_);_(@_)</c:formatCode>
                <c:ptCount val="2"/>
                <c:pt idx="0">
                  <c:v>45.993000000000002</c:v>
                </c:pt>
                <c:pt idx="1">
                  <c:v>9.85</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1BK'!$I$9:$I$10</c:f>
              <c:numCache>
                <c:formatCode>_(* #,##0.000_);_(* \(#,##0.000\);_(* "-"??_);_(@_)</c:formatCode>
                <c:ptCount val="2"/>
                <c:pt idx="0">
                  <c:v>45.558</c:v>
                </c:pt>
                <c:pt idx="1">
                  <c:v>15.54</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83240064"/>
        <c:axId val="83241984"/>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1BK'!$G$9:$G$10</c:f>
              <c:numCache>
                <c:formatCode>_(* #,##0.00_);_(* \(#,##0.00\);_(* "-"??_);_(@_)</c:formatCode>
                <c:ptCount val="2"/>
                <c:pt idx="0">
                  <c:v>462.88</c:v>
                </c:pt>
                <c:pt idx="1">
                  <c:v>149.46</c:v>
                </c:pt>
              </c:numCache>
            </c:numRef>
          </c:cat>
          <c:val>
            <c:numRef>
              <c:f>'RINCI 1BK'!$F$9:$F$10</c:f>
              <c:numCache>
                <c:formatCode>_(* #,##0.00_);_(* \(#,##0.00\);_(* "-"??_);_(@_)</c:formatCode>
                <c:ptCount val="2"/>
                <c:pt idx="0">
                  <c:v>462.9</c:v>
                </c:pt>
                <c:pt idx="1">
                  <c:v>148.24</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1BK'!$G$9:$G$10</c:f>
              <c:numCache>
                <c:formatCode>_(* #,##0.00_);_(* \(#,##0.00\);_(* "-"??_);_(@_)</c:formatCode>
                <c:ptCount val="2"/>
                <c:pt idx="0">
                  <c:v>462.88</c:v>
                </c:pt>
                <c:pt idx="1">
                  <c:v>149.46</c:v>
                </c:pt>
              </c:numCache>
            </c:numRef>
          </c:cat>
          <c:val>
            <c:numRef>
              <c:f>'RINCI 1BK'!$G$9:$G$10</c:f>
              <c:numCache>
                <c:formatCode>_(* #,##0.00_);_(* \(#,##0.00\);_(* "-"??_);_(@_)</c:formatCode>
                <c:ptCount val="2"/>
                <c:pt idx="0">
                  <c:v>462.88</c:v>
                </c:pt>
                <c:pt idx="1">
                  <c:v>149.46</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83256448"/>
        <c:axId val="83258368"/>
      </c:lineChart>
      <c:catAx>
        <c:axId val="8324006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83241984"/>
        <c:crossesAt val="10"/>
        <c:auto val="0"/>
        <c:lblAlgn val="ctr"/>
        <c:lblOffset val="100"/>
        <c:tickLblSkip val="1"/>
        <c:tickMarkSkip val="1"/>
        <c:noMultiLvlLbl val="0"/>
      </c:catAx>
      <c:valAx>
        <c:axId val="83241984"/>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83240064"/>
        <c:crosses val="autoZero"/>
        <c:crossBetween val="between"/>
        <c:majorUnit val="50"/>
      </c:valAx>
      <c:catAx>
        <c:axId val="83256448"/>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83258368"/>
        <c:crosses val="autoZero"/>
        <c:auto val="0"/>
        <c:lblAlgn val="ctr"/>
        <c:lblOffset val="100"/>
        <c:noMultiLvlLbl val="0"/>
      </c:catAx>
      <c:valAx>
        <c:axId val="83258368"/>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83256448"/>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3.052</c:v>
                </c:pt>
                <c:pt idx="1">
                  <c:v>0.622</c:v>
                </c:pt>
                <c:pt idx="2">
                  <c:v>0.68300000000000005</c:v>
                </c:pt>
                <c:pt idx="3">
                  <c:v>0.45800000000000002</c:v>
                </c:pt>
                <c:pt idx="4">
                  <c:v>2.5219999999999998</c:v>
                </c:pt>
                <c:pt idx="5">
                  <c:v>7.5999999999999998E-2</c:v>
                </c:pt>
                <c:pt idx="6">
                  <c:v>8.8999999999999996E-2</c:v>
                </c:pt>
                <c:pt idx="7">
                  <c:v>7.2649999999999997</c:v>
                </c:pt>
                <c:pt idx="8">
                  <c:v>2.2490000000000001</c:v>
                </c:pt>
                <c:pt idx="9">
                  <c:v>2.78</c:v>
                </c:pt>
                <c:pt idx="10">
                  <c:v>2.1429999999999998</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25186048"/>
        <c:axId val="125187584"/>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3.04</c:v>
                </c:pt>
                <c:pt idx="1">
                  <c:v>0.64100000000000001</c:v>
                </c:pt>
                <c:pt idx="2">
                  <c:v>0.71</c:v>
                </c:pt>
                <c:pt idx="3">
                  <c:v>0.48099999999999998</c:v>
                </c:pt>
                <c:pt idx="4">
                  <c:v>2.919</c:v>
                </c:pt>
                <c:pt idx="5">
                  <c:v>5.6000000000000001E-2</c:v>
                </c:pt>
                <c:pt idx="6">
                  <c:v>0.09</c:v>
                </c:pt>
                <c:pt idx="7">
                  <c:v>9.9640000000000004</c:v>
                </c:pt>
                <c:pt idx="8">
                  <c:v>2.6110000000000002</c:v>
                </c:pt>
                <c:pt idx="9">
                  <c:v>2.93</c:v>
                </c:pt>
                <c:pt idx="10">
                  <c:v>2.8330000000000002</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25189504"/>
        <c:axId val="125191296"/>
      </c:lineChart>
      <c:catAx>
        <c:axId val="12518604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5187584"/>
        <c:crosses val="autoZero"/>
        <c:auto val="1"/>
        <c:lblAlgn val="ctr"/>
        <c:lblOffset val="100"/>
        <c:tickMarkSkip val="1"/>
        <c:noMultiLvlLbl val="0"/>
      </c:catAx>
      <c:valAx>
        <c:axId val="125187584"/>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25186048"/>
        <c:crosses val="autoZero"/>
        <c:crossBetween val="between"/>
        <c:majorUnit val="0.5"/>
      </c:valAx>
      <c:catAx>
        <c:axId val="125189504"/>
        <c:scaling>
          <c:orientation val="minMax"/>
        </c:scaling>
        <c:delete val="1"/>
        <c:axPos val="b"/>
        <c:numFmt formatCode="General" sourceLinked="1"/>
        <c:majorTickMark val="out"/>
        <c:minorTickMark val="none"/>
        <c:tickLblPos val="nextTo"/>
        <c:crossAx val="125191296"/>
        <c:crosses val="autoZero"/>
        <c:auto val="1"/>
        <c:lblAlgn val="ctr"/>
        <c:lblOffset val="100"/>
        <c:noMultiLvlLbl val="0"/>
      </c:catAx>
      <c:valAx>
        <c:axId val="125191296"/>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2518950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204.56</c:v>
                </c:pt>
                <c:pt idx="1">
                  <c:v>325.3</c:v>
                </c:pt>
                <c:pt idx="2">
                  <c:v>129</c:v>
                </c:pt>
                <c:pt idx="3">
                  <c:v>282.7</c:v>
                </c:pt>
                <c:pt idx="4">
                  <c:v>98.5</c:v>
                </c:pt>
                <c:pt idx="5">
                  <c:v>189.5</c:v>
                </c:pt>
                <c:pt idx="6">
                  <c:v>170.85</c:v>
                </c:pt>
                <c:pt idx="7">
                  <c:v>139.63</c:v>
                </c:pt>
                <c:pt idx="8">
                  <c:v>238.71</c:v>
                </c:pt>
                <c:pt idx="9">
                  <c:v>118.7</c:v>
                </c:pt>
                <c:pt idx="10">
                  <c:v>110.24</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204.54</c:v>
                </c:pt>
                <c:pt idx="1">
                  <c:v>325.5</c:v>
                </c:pt>
                <c:pt idx="2">
                  <c:v>129.19999999999999</c:v>
                </c:pt>
                <c:pt idx="3">
                  <c:v>282.98</c:v>
                </c:pt>
                <c:pt idx="4">
                  <c:v>99.04</c:v>
                </c:pt>
                <c:pt idx="5">
                  <c:v>188.91</c:v>
                </c:pt>
                <c:pt idx="6">
                  <c:v>170.89</c:v>
                </c:pt>
                <c:pt idx="7">
                  <c:v>140.57</c:v>
                </c:pt>
                <c:pt idx="8">
                  <c:v>239.31</c:v>
                </c:pt>
                <c:pt idx="9">
                  <c:v>118.79</c:v>
                </c:pt>
                <c:pt idx="10">
                  <c:v>110.67</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25218176"/>
        <c:axId val="125224064"/>
      </c:barChart>
      <c:catAx>
        <c:axId val="12521817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25224064"/>
        <c:crossesAt val="0"/>
        <c:auto val="0"/>
        <c:lblAlgn val="ctr"/>
        <c:lblOffset val="100"/>
        <c:tickLblSkip val="1"/>
        <c:tickMarkSkip val="1"/>
        <c:noMultiLvlLbl val="0"/>
      </c:catAx>
      <c:valAx>
        <c:axId val="125224064"/>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2521817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25008512"/>
        <c:axId val="125022592"/>
      </c:lineChart>
      <c:catAx>
        <c:axId val="12500851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5022592"/>
        <c:crosses val="autoZero"/>
        <c:auto val="0"/>
        <c:lblAlgn val="ctr"/>
        <c:lblOffset val="100"/>
        <c:tickLblSkip val="1"/>
        <c:tickMarkSkip val="1"/>
        <c:noMultiLvlLbl val="0"/>
      </c:catAx>
      <c:valAx>
        <c:axId val="125022592"/>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5008512"/>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81741312"/>
        <c:axId val="81742848"/>
      </c:lineChart>
      <c:catAx>
        <c:axId val="817413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1742848"/>
        <c:crossesAt val="0"/>
        <c:auto val="0"/>
        <c:lblAlgn val="ctr"/>
        <c:lblOffset val="100"/>
        <c:tickLblSkip val="1"/>
        <c:tickMarkSkip val="1"/>
        <c:noMultiLvlLbl val="0"/>
      </c:catAx>
      <c:valAx>
        <c:axId val="8174284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174131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25496704"/>
        <c:axId val="125498496"/>
      </c:lineChart>
      <c:catAx>
        <c:axId val="1254967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25498496"/>
        <c:crossesAt val="0"/>
        <c:auto val="0"/>
        <c:lblAlgn val="ctr"/>
        <c:lblOffset val="100"/>
        <c:tickMarkSkip val="1"/>
        <c:noMultiLvlLbl val="0"/>
      </c:catAx>
      <c:valAx>
        <c:axId val="125498496"/>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2549670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24594816"/>
        <c:axId val="124608896"/>
      </c:lineChart>
      <c:catAx>
        <c:axId val="1245948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24608896"/>
        <c:crosses val="autoZero"/>
        <c:auto val="0"/>
        <c:lblAlgn val="ctr"/>
        <c:lblOffset val="100"/>
        <c:tickLblSkip val="1"/>
        <c:tickMarkSkip val="1"/>
        <c:noMultiLvlLbl val="0"/>
      </c:catAx>
      <c:valAx>
        <c:axId val="124608896"/>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2459481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1334.7</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74280320"/>
        <c:axId val="81200640"/>
      </c:lineChart>
      <c:catAx>
        <c:axId val="742803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81200640"/>
        <c:crosses val="autoZero"/>
        <c:auto val="0"/>
        <c:lblAlgn val="ctr"/>
        <c:lblOffset val="100"/>
        <c:tickLblSkip val="1"/>
        <c:tickMarkSkip val="1"/>
        <c:noMultiLvlLbl val="0"/>
      </c:catAx>
      <c:valAx>
        <c:axId val="81200640"/>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74280320"/>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24773120"/>
        <c:axId val="124774656"/>
      </c:lineChart>
      <c:catAx>
        <c:axId val="124773120"/>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24774656"/>
        <c:crosses val="autoZero"/>
        <c:auto val="0"/>
        <c:lblAlgn val="ctr"/>
        <c:lblOffset val="100"/>
        <c:tickLblSkip val="1"/>
        <c:tickMarkSkip val="1"/>
        <c:noMultiLvlLbl val="0"/>
      </c:catAx>
      <c:valAx>
        <c:axId val="124774656"/>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24773120"/>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28.684999999999999</c:v>
                </c:pt>
                <c:pt idx="1">
                  <c:v>48.369</c:v>
                </c:pt>
                <c:pt idx="2">
                  <c:v>45.558</c:v>
                </c:pt>
                <c:pt idx="3">
                  <c:v>522.17200000000003</c:v>
                </c:pt>
                <c:pt idx="4">
                  <c:v>294.89999999999998</c:v>
                </c:pt>
                <c:pt idx="5">
                  <c:v>27.08</c:v>
                </c:pt>
                <c:pt idx="6">
                  <c:v>224.35</c:v>
                </c:pt>
                <c:pt idx="7">
                  <c:v>13.763</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44175104"/>
        <c:axId val="144176640"/>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28.684999999999999</c:v>
                </c:pt>
                <c:pt idx="1">
                  <c:v>48.369</c:v>
                </c:pt>
                <c:pt idx="2">
                  <c:v>45.558</c:v>
                </c:pt>
                <c:pt idx="3">
                  <c:v>522.17200000000003</c:v>
                </c:pt>
                <c:pt idx="4">
                  <c:v>294.89999999999998</c:v>
                </c:pt>
                <c:pt idx="5">
                  <c:v>27.08</c:v>
                </c:pt>
                <c:pt idx="6">
                  <c:v>224.35</c:v>
                </c:pt>
                <c:pt idx="7">
                  <c:v>13.763</c:v>
                </c:pt>
              </c:numCache>
            </c:numRef>
          </c:cat>
          <c:val>
            <c:numRef>
              <c:f>'RINCI 1'!$F$9:$F$16</c:f>
              <c:numCache>
                <c:formatCode>_(* #,##0.00_);_(* \(#,##0.00\);_(* "-"??_);_(@_)</c:formatCode>
                <c:ptCount val="8"/>
                <c:pt idx="0">
                  <c:v>55</c:v>
                </c:pt>
                <c:pt idx="1">
                  <c:v>73.86</c:v>
                </c:pt>
                <c:pt idx="2">
                  <c:v>462.9</c:v>
                </c:pt>
                <c:pt idx="3">
                  <c:v>87.83</c:v>
                </c:pt>
                <c:pt idx="4">
                  <c:v>135.91999999999999</c:v>
                </c:pt>
                <c:pt idx="5">
                  <c:v>65.72</c:v>
                </c:pt>
                <c:pt idx="6">
                  <c:v>167.5</c:v>
                </c:pt>
                <c:pt idx="7">
                  <c:v>228.79</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28.684999999999999</c:v>
                </c:pt>
                <c:pt idx="1">
                  <c:v>48.369</c:v>
                </c:pt>
                <c:pt idx="2">
                  <c:v>45.558</c:v>
                </c:pt>
                <c:pt idx="3">
                  <c:v>522.17200000000003</c:v>
                </c:pt>
                <c:pt idx="4">
                  <c:v>294.89999999999998</c:v>
                </c:pt>
                <c:pt idx="5">
                  <c:v>27.08</c:v>
                </c:pt>
                <c:pt idx="6">
                  <c:v>224.35</c:v>
                </c:pt>
                <c:pt idx="7">
                  <c:v>13.763</c:v>
                </c:pt>
              </c:numCache>
            </c:numRef>
          </c:cat>
          <c:val>
            <c:numRef>
              <c:f>'RINCI 1'!$G$9:$G$16</c:f>
              <c:numCache>
                <c:formatCode>_(* #,##0.00_);_(* \(#,##0.00\);_(* "-"??_);_(@_)</c:formatCode>
                <c:ptCount val="8"/>
                <c:pt idx="0">
                  <c:v>55.34</c:v>
                </c:pt>
                <c:pt idx="1">
                  <c:v>77.400000000000006</c:v>
                </c:pt>
                <c:pt idx="2">
                  <c:v>462.88</c:v>
                </c:pt>
                <c:pt idx="3">
                  <c:v>86.48</c:v>
                </c:pt>
                <c:pt idx="4">
                  <c:v>134.69999999999999</c:v>
                </c:pt>
                <c:pt idx="5">
                  <c:v>68.14</c:v>
                </c:pt>
                <c:pt idx="6">
                  <c:v>167.82</c:v>
                </c:pt>
                <c:pt idx="7">
                  <c:v>230.52</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44178560"/>
        <c:axId val="144180736"/>
      </c:lineChart>
      <c:catAx>
        <c:axId val="144175104"/>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4176640"/>
        <c:crossesAt val="10"/>
        <c:auto val="0"/>
        <c:lblAlgn val="ctr"/>
        <c:lblOffset val="100"/>
        <c:tickLblSkip val="1"/>
        <c:tickMarkSkip val="1"/>
        <c:noMultiLvlLbl val="0"/>
      </c:catAx>
      <c:valAx>
        <c:axId val="144176640"/>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44175104"/>
        <c:crosses val="autoZero"/>
        <c:crossBetween val="between"/>
        <c:majorUnit val="100"/>
      </c:valAx>
      <c:catAx>
        <c:axId val="144178560"/>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44180736"/>
        <c:crosses val="autoZero"/>
        <c:auto val="0"/>
        <c:lblAlgn val="ctr"/>
        <c:lblOffset val="100"/>
        <c:noMultiLvlLbl val="0"/>
      </c:catAx>
      <c:valAx>
        <c:axId val="144180736"/>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4178560"/>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44569088"/>
        <c:axId val="144570624"/>
      </c:lineChart>
      <c:catAx>
        <c:axId val="14456908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44570624"/>
        <c:crosses val="autoZero"/>
        <c:auto val="1"/>
        <c:lblAlgn val="ctr"/>
        <c:lblOffset val="100"/>
        <c:noMultiLvlLbl val="0"/>
      </c:catAx>
      <c:valAx>
        <c:axId val="144570624"/>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4456908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43881728"/>
        <c:axId val="143883648"/>
      </c:barChart>
      <c:catAx>
        <c:axId val="143881728"/>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43883648"/>
        <c:crossesAt val="0"/>
        <c:auto val="0"/>
        <c:lblAlgn val="ctr"/>
        <c:lblOffset val="100"/>
        <c:tickLblSkip val="1"/>
        <c:tickMarkSkip val="1"/>
        <c:noMultiLvlLbl val="0"/>
      </c:catAx>
      <c:valAx>
        <c:axId val="143883648"/>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43881728"/>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44102528"/>
        <c:axId val="144104064"/>
      </c:lineChart>
      <c:dateAx>
        <c:axId val="144102528"/>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4104064"/>
        <c:crosses val="autoZero"/>
        <c:auto val="0"/>
        <c:lblOffset val="100"/>
        <c:baseTimeUnit val="days"/>
        <c:majorUnit val="1"/>
        <c:majorTimeUnit val="months"/>
        <c:minorUnit val="1"/>
        <c:minorTimeUnit val="months"/>
      </c:dateAx>
      <c:valAx>
        <c:axId val="14410406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4102528"/>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44270464"/>
        <c:axId val="144272384"/>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44270464"/>
        <c:axId val="144272384"/>
      </c:lineChart>
      <c:catAx>
        <c:axId val="144270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4272384"/>
        <c:crosses val="autoZero"/>
        <c:auto val="0"/>
        <c:lblAlgn val="ctr"/>
        <c:lblOffset val="100"/>
        <c:tickLblSkip val="1"/>
        <c:tickMarkSkip val="1"/>
        <c:noMultiLvlLbl val="0"/>
      </c:catAx>
      <c:valAx>
        <c:axId val="144272384"/>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4270464"/>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81295232"/>
        <c:axId val="81296768"/>
      </c:lineChart>
      <c:catAx>
        <c:axId val="81295232"/>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1296768"/>
        <c:crosses val="autoZero"/>
        <c:auto val="0"/>
        <c:lblAlgn val="ctr"/>
        <c:lblOffset val="100"/>
        <c:tickLblSkip val="1"/>
        <c:tickMarkSkip val="1"/>
        <c:noMultiLvlLbl val="0"/>
      </c:catAx>
      <c:valAx>
        <c:axId val="81296768"/>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81295232"/>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0-6CCF-40BF-958D-AB7CE1EAA091}"/>
            </c:ext>
          </c:extLst>
        </c:ser>
        <c:ser>
          <c:idx val="1"/>
          <c:order val="1"/>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c:ext xmlns:c16="http://schemas.microsoft.com/office/drawing/2014/chart" uri="{C3380CC4-5D6E-409C-BE32-E72D297353CC}">
              <c16:uniqueId val="{00000001-6CCF-40BF-958D-AB7CE1EAA091}"/>
            </c:ext>
          </c:extLst>
        </c:ser>
        <c:ser>
          <c:idx val="2"/>
          <c:order val="2"/>
          <c:tx>
            <c:strRef>
              <c:f>GRARWNING!$M$4</c:f>
              <c:strCache>
                <c:ptCount val="1"/>
                <c:pt idx="0">
                  <c:v> 2022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c:ext xmlns:c16="http://schemas.microsoft.com/office/drawing/2014/chart" uri="{C3380CC4-5D6E-409C-BE32-E72D297353CC}">
              <c16:uniqueId val="{00000002-6CCF-40BF-958D-AB7CE1EAA091}"/>
            </c:ext>
          </c:extLst>
        </c:ser>
        <c:ser>
          <c:idx val="3"/>
          <c:order val="3"/>
          <c:tx>
            <c:strRef>
              <c:f>GRARWNING!$N$4</c:f>
              <c:strCache>
                <c:ptCount val="1"/>
                <c:pt idx="0">
                  <c:v> 2023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c:ext xmlns:c16="http://schemas.microsoft.com/office/drawing/2014/chart" uri="{C3380CC4-5D6E-409C-BE32-E72D297353CC}">
              <c16:uniqueId val="{00000003-6CCF-40BF-958D-AB7CE1EAA091}"/>
            </c:ext>
          </c:extLst>
        </c:ser>
        <c:ser>
          <c:idx val="4"/>
          <c:order val="4"/>
          <c:tx>
            <c:strRef>
              <c:f>GRARWNING!$O$4</c:f>
              <c:strCache>
                <c:ptCount val="1"/>
                <c:pt idx="0">
                  <c:v> 2024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81128064"/>
        <c:axId val="80945536"/>
      </c:lineChart>
      <c:catAx>
        <c:axId val="81128064"/>
        <c:scaling>
          <c:orientation val="minMax"/>
        </c:scaling>
        <c:delete val="0"/>
        <c:axPos val="b"/>
        <c:numFmt formatCode="General" sourceLinked="0"/>
        <c:majorTickMark val="none"/>
        <c:minorTickMark val="none"/>
        <c:tickLblPos val="nextTo"/>
        <c:txPr>
          <a:bodyPr/>
          <a:lstStyle/>
          <a:p>
            <a:pPr>
              <a:defRPr lang="en-GB"/>
            </a:pPr>
            <a:endParaRPr lang="en-US"/>
          </a:p>
        </c:txPr>
        <c:crossAx val="80945536"/>
        <c:crosses val="autoZero"/>
        <c:auto val="1"/>
        <c:lblAlgn val="ctr"/>
        <c:lblOffset val="100"/>
        <c:noMultiLvlLbl val="0"/>
      </c:catAx>
      <c:valAx>
        <c:axId val="80945536"/>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81128064"/>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81146624"/>
        <c:axId val="81148160"/>
      </c:lineChart>
      <c:catAx>
        <c:axId val="8114662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81148160"/>
        <c:crosses val="autoZero"/>
        <c:auto val="0"/>
        <c:lblAlgn val="ctr"/>
        <c:lblOffset val="100"/>
        <c:tickLblSkip val="1"/>
        <c:tickMarkSkip val="1"/>
        <c:noMultiLvlLbl val="0"/>
      </c:catAx>
      <c:valAx>
        <c:axId val="81148160"/>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81146624"/>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81463936"/>
        <c:axId val="81469824"/>
      </c:lineChart>
      <c:catAx>
        <c:axId val="814639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81469824"/>
        <c:crossesAt val="0"/>
        <c:auto val="0"/>
        <c:lblAlgn val="ctr"/>
        <c:lblOffset val="100"/>
        <c:tickMarkSkip val="1"/>
        <c:noMultiLvlLbl val="0"/>
      </c:catAx>
      <c:valAx>
        <c:axId val="81469824"/>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8146393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81558912"/>
        <c:axId val="81564800"/>
      </c:lineChart>
      <c:catAx>
        <c:axId val="81558912"/>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81564800"/>
        <c:crosses val="autoZero"/>
        <c:auto val="0"/>
        <c:lblAlgn val="ctr"/>
        <c:lblOffset val="100"/>
        <c:tickLblSkip val="1"/>
        <c:tickMarkSkip val="1"/>
        <c:noMultiLvlLbl val="0"/>
      </c:catAx>
      <c:valAx>
        <c:axId val="8156480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81558912"/>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81226368"/>
        <c:axId val="81404288"/>
      </c:lineChart>
      <c:catAx>
        <c:axId val="8122636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1404288"/>
        <c:crosses val="autoZero"/>
        <c:auto val="1"/>
        <c:lblAlgn val="ctr"/>
        <c:lblOffset val="100"/>
        <c:noMultiLvlLbl val="0"/>
      </c:catAx>
      <c:valAx>
        <c:axId val="8140428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8122636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81964416"/>
        <c:axId val="81974784"/>
      </c:barChart>
      <c:catAx>
        <c:axId val="8196441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1974784"/>
        <c:crossesAt val="0"/>
        <c:auto val="0"/>
        <c:lblAlgn val="ctr"/>
        <c:lblOffset val="100"/>
        <c:tickLblSkip val="1"/>
        <c:tickMarkSkip val="1"/>
        <c:noMultiLvlLbl val="0"/>
      </c:catAx>
      <c:valAx>
        <c:axId val="81974784"/>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8196441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4"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95249</xdr:colOff>
      <xdr:row>22</xdr:row>
      <xdr:rowOff>24190</xdr:rowOff>
    </xdr:from>
    <xdr:to>
      <xdr:col>4</xdr:col>
      <xdr:colOff>1102179</xdr:colOff>
      <xdr:row>27</xdr:row>
      <xdr:rowOff>37797</xdr:rowOff>
    </xdr:to>
    <xdr:sp macro="" textlink="">
      <xdr:nvSpPr>
        <xdr:cNvPr id="5" name="Snip Diagonal Corner Rectangle 4">
          <a:extLst>
            <a:ext uri="{FF2B5EF4-FFF2-40B4-BE49-F238E27FC236}">
              <a16:creationId xmlns:a16="http://schemas.microsoft.com/office/drawing/2014/main" id="{00000000-0008-0000-0900-000005000000}"/>
            </a:ext>
          </a:extLst>
        </xdr:cNvPr>
        <xdr:cNvSpPr/>
      </xdr:nvSpPr>
      <xdr:spPr>
        <a:xfrm>
          <a:off x="359832" y="3823607"/>
          <a:ext cx="2753180" cy="807357"/>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A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20</xdr:row>
      <xdr:rowOff>38100</xdr:rowOff>
    </xdr:from>
    <xdr:to>
      <xdr:col>9</xdr:col>
      <xdr:colOff>942975</xdr:colOff>
      <xdr:row>52</xdr:row>
      <xdr:rowOff>85725</xdr:rowOff>
    </xdr:to>
    <xdr:graphicFrame macro="">
      <xdr:nvGraphicFramePr>
        <xdr:cNvPr id="2" name="Chart 6">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C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C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D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D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D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D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0E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0F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10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11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3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id="{00000000-0008-0000-1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6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46</xdr:row>
      <xdr:rowOff>258536</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trlProp" Target="../ctrlProps/ctrlProp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opLeftCell="A7" zoomScale="90" zoomScaleNormal="90" workbookViewId="0">
      <selection activeCell="M43" sqref="M43"/>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61"/>
      <c r="C37" s="862"/>
      <c r="D37" s="862"/>
      <c r="E37" s="862"/>
      <c r="F37" s="862"/>
      <c r="G37" s="862"/>
      <c r="H37" s="862"/>
      <c r="I37" s="862"/>
      <c r="J37" s="863"/>
    </row>
    <row r="38" spans="2:10" x14ac:dyDescent="0.2">
      <c r="B38" s="243"/>
      <c r="J38" s="244"/>
    </row>
    <row r="39" spans="2:10" ht="20.25" x14ac:dyDescent="0.3">
      <c r="B39" s="861" t="s">
        <v>352</v>
      </c>
      <c r="C39" s="862"/>
      <c r="D39" s="862"/>
      <c r="E39" s="862"/>
      <c r="F39" s="862"/>
      <c r="G39" s="862"/>
      <c r="H39" s="862"/>
      <c r="I39" s="862"/>
      <c r="J39" s="863"/>
    </row>
    <row r="40" spans="2:10" x14ac:dyDescent="0.2">
      <c r="B40" s="243"/>
      <c r="J40" s="244"/>
    </row>
    <row r="41" spans="2:10" x14ac:dyDescent="0.2">
      <c r="B41" s="243"/>
      <c r="J41" s="244"/>
    </row>
    <row r="42" spans="2:10" ht="15" customHeight="1" x14ac:dyDescent="0.2">
      <c r="B42" s="243"/>
      <c r="J42" s="244"/>
    </row>
    <row r="43" spans="2:10" ht="26.25" customHeight="1" x14ac:dyDescent="0.4">
      <c r="B43" s="858" t="s">
        <v>292</v>
      </c>
      <c r="C43" s="859"/>
      <c r="D43" s="859"/>
      <c r="E43" s="859"/>
      <c r="F43" s="859"/>
      <c r="G43" s="859"/>
      <c r="H43" s="859"/>
      <c r="I43" s="859"/>
      <c r="J43" s="860"/>
    </row>
    <row r="44" spans="2:10" ht="26.25" x14ac:dyDescent="0.4">
      <c r="B44" s="858" t="s">
        <v>293</v>
      </c>
      <c r="C44" s="859"/>
      <c r="D44" s="859"/>
      <c r="E44" s="859"/>
      <c r="F44" s="859"/>
      <c r="G44" s="859"/>
      <c r="H44" s="859"/>
      <c r="I44" s="859"/>
      <c r="J44" s="860"/>
    </row>
    <row r="45" spans="2:10" ht="26.25" x14ac:dyDescent="0.4">
      <c r="B45" s="858" t="s">
        <v>178</v>
      </c>
      <c r="C45" s="859"/>
      <c r="D45" s="859"/>
      <c r="E45" s="859"/>
      <c r="F45" s="859"/>
      <c r="G45" s="859"/>
      <c r="H45" s="859"/>
      <c r="I45" s="859"/>
      <c r="J45" s="860"/>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I63"/>
  <sheetViews>
    <sheetView showGridLines="0" zoomScale="70" zoomScaleNormal="70" workbookViewId="0">
      <selection activeCell="AK13" sqref="AK13"/>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12" t="s">
        <v>331</v>
      </c>
      <c r="C1" s="913"/>
      <c r="D1" s="913"/>
      <c r="E1" s="913"/>
      <c r="F1" s="913"/>
      <c r="G1" s="913"/>
      <c r="H1" s="913"/>
      <c r="I1" s="913"/>
      <c r="J1" s="913"/>
      <c r="K1" s="913"/>
      <c r="L1" s="913"/>
      <c r="M1" s="913"/>
      <c r="N1" s="913"/>
      <c r="O1" s="913"/>
      <c r="P1" s="913"/>
      <c r="Q1" s="913"/>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14" t="s">
        <v>350</v>
      </c>
      <c r="C2" s="915"/>
      <c r="D2" s="915"/>
      <c r="E2" s="915"/>
      <c r="F2" s="915"/>
      <c r="G2" s="915"/>
      <c r="H2" s="915"/>
      <c r="I2" s="915"/>
      <c r="J2" s="915"/>
      <c r="K2" s="915"/>
      <c r="L2" s="915"/>
      <c r="M2" s="915"/>
      <c r="N2" s="915"/>
      <c r="O2" s="915"/>
      <c r="P2" s="915"/>
      <c r="Q2" s="915"/>
      <c r="R2" s="287"/>
      <c r="S2" s="326">
        <v>1</v>
      </c>
      <c r="T2" s="234" t="str">
        <f>IF('RINCI 1'!J9=0,"Kosong",IF('RINCI 1'!J9&lt;85,"Di Bawah Rencana",IF('RINCI 1'!J9&gt;100,"Di Atas Rencana","Sesuai Rencana")))</f>
        <v>Di Atas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Sesuai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Sesuai Rencana</v>
      </c>
      <c r="U4" s="234" t="s">
        <v>31</v>
      </c>
      <c r="W4" s="234" t="s">
        <v>164</v>
      </c>
      <c r="X4" s="234" t="s">
        <v>167</v>
      </c>
      <c r="AA4" s="326">
        <v>3</v>
      </c>
      <c r="AB4" s="234" t="str">
        <f>IF('RINCI 2'!J11=0,"Kosong",IF('RINCI 2'!J11&lt;85,"Di Bawah Rencana",IF('RINCI 2'!J11&gt;100,"Di Atas Rencana","Sesuai Rencana")))</f>
        <v>Sesuai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Wonogiri</v>
      </c>
      <c r="AA5" s="326">
        <v>4</v>
      </c>
      <c r="AB5" s="234" t="str">
        <f>IF('RINCI 2'!J12=0,"Kosong",IF('RINCI 2'!J12&lt;85,"Di Bawah Rencana",IF('RINCI 2'!J12&gt;100,"Di Atas Rencana","Sesuai Rencana")))</f>
        <v>Di Bawah Rencana</v>
      </c>
      <c r="AC5" s="234" t="s">
        <v>35</v>
      </c>
      <c r="AE5" s="234" t="s">
        <v>166</v>
      </c>
      <c r="AF5" s="234" t="str">
        <f t="array" ref="AF5">IF(ISERROR(INDEX($AB$1:$AC$33,SMALL(IF($AB$1:$AB$33=$AF$4,ROW($AB$1:$AB$33)),ROW(1:1)),2)),"",INDEX($AB$1:$AC$33,SMALL(IF($AB$1:$AB$33=$AF$4,ROW($AB$1:$AB$33)),ROW(1:1)),2))</f>
        <v>Tempuran</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Bawah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Atas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Atas Rencana</v>
      </c>
      <c r="U8" s="234" t="s">
        <v>65</v>
      </c>
      <c r="W8" s="234" t="s">
        <v>166</v>
      </c>
      <c r="X8" s="234" t="str">
        <f t="array" ref="X8">IF(ISERROR(INDEX($T$1:$U$10,SMALL(IF($T$1:$T$10=$X$7,ROW($T$1:$T$10)),ROW(1:1)),2)),"",INDEX($T$1:$U$10,SMALL(IF($T$1:$T$10=$X$7,ROW($T$1:$T$10)),ROW(1:1)),2))</f>
        <v>Rawapening</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Di Atas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Di Atas Rencana</v>
      </c>
      <c r="U10" s="234" t="s">
        <v>217</v>
      </c>
      <c r="W10" s="234" t="s">
        <v>164</v>
      </c>
      <c r="X10" s="234" t="s">
        <v>170</v>
      </c>
      <c r="AA10" s="326">
        <v>9</v>
      </c>
      <c r="AB10" s="234" t="str">
        <f>IF('RINCI 2'!J17=0,"Kosong",IF('RINCI 2'!J17&lt;85,"Di Bawah Rencana",IF('RINCI 2'!J17&gt;100,"Di Atas Rencana","Sesuai Rencana")))</f>
        <v>Di Bawah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Malahayu</v>
      </c>
      <c r="AA11" s="326">
        <v>10</v>
      </c>
      <c r="AB11" s="234" t="str">
        <f>IF('RINCI 2'!J18=0,"Kosong",IF('RINCI 2'!J18&lt;85,"Di Bawah Rencana",IF('RINCI 2'!J18&gt;100,"Di Atas Rencana","Sesuai Rencana")))</f>
        <v>Di Atas Rencana</v>
      </c>
      <c r="AC11" s="234" t="s">
        <v>42</v>
      </c>
      <c r="AE11" s="234" t="s">
        <v>166</v>
      </c>
      <c r="AF11" s="234" t="str">
        <f t="array" ref="AF11">IF(ISERROR(INDEX($AB$1:$AC$33,SMALL(IF($AB$1:$AB$33=$AF$10,ROW($AB$1:$AB$33)),ROW(1:1)),2)),"",INDEX($AB$1:$AC$33,SMALL(IF($AB$1:$AB$33=$AF$10,ROW($AB$1:$AB$33)),ROW(1:1)),2))</f>
        <v>Lodanwetan</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Sesuai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Sesuai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Bawah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Di Bawah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Sesuai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Di Atas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0</v>
      </c>
      <c r="C24" s="752" t="s">
        <v>272</v>
      </c>
      <c r="D24" s="752"/>
      <c r="E24" s="753"/>
      <c r="F24" s="754">
        <f>'RINCI 2'!J48+'RINCI 1'!J26</f>
        <v>11</v>
      </c>
      <c r="G24" s="752" t="s">
        <v>275</v>
      </c>
      <c r="H24" s="752"/>
      <c r="I24" s="753"/>
      <c r="J24" s="754">
        <f>'RINCI 2'!J47+'RINCI 1'!J25</f>
        <v>9</v>
      </c>
      <c r="K24" s="752" t="s">
        <v>276</v>
      </c>
      <c r="L24" s="753"/>
      <c r="M24" s="753"/>
      <c r="N24" s="754">
        <f>'RINCI 1'!J24+'RINCI 2'!J46</f>
        <v>24</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Atas Rencana</v>
      </c>
      <c r="AC24" s="234" t="s">
        <v>56</v>
      </c>
      <c r="AI24" s="284"/>
    </row>
    <row r="25" spans="2:35" x14ac:dyDescent="0.2">
      <c r="B25" s="751">
        <f>'RINCI 1'!J27</f>
        <v>0</v>
      </c>
      <c r="C25" s="752" t="s">
        <v>273</v>
      </c>
      <c r="D25" s="752"/>
      <c r="E25" s="753"/>
      <c r="F25" s="754">
        <f>'RINCI 1'!J26</f>
        <v>1</v>
      </c>
      <c r="G25" s="752" t="s">
        <v>273</v>
      </c>
      <c r="H25" s="752"/>
      <c r="I25" s="753"/>
      <c r="J25" s="754">
        <f>'RINCI 1'!J25</f>
        <v>2</v>
      </c>
      <c r="K25" s="752" t="s">
        <v>273</v>
      </c>
      <c r="L25" s="753"/>
      <c r="M25" s="753"/>
      <c r="N25" s="754">
        <f>'RINCI 1'!J24</f>
        <v>8</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0</v>
      </c>
      <c r="C26" s="752" t="s">
        <v>274</v>
      </c>
      <c r="D26" s="752"/>
      <c r="E26" s="753"/>
      <c r="F26" s="751">
        <f>'RINCI 2'!J48</f>
        <v>10</v>
      </c>
      <c r="G26" s="752" t="s">
        <v>274</v>
      </c>
      <c r="H26" s="752"/>
      <c r="I26" s="753"/>
      <c r="J26" s="751">
        <f>'RINCI 2'!J47</f>
        <v>7</v>
      </c>
      <c r="K26" s="752" t="s">
        <v>274</v>
      </c>
      <c r="L26" s="753"/>
      <c r="M26" s="753"/>
      <c r="N26" s="754">
        <f>'RINCI 2'!J46</f>
        <v>16</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Di Bawah Rencana</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Atas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Atas Rencana</v>
      </c>
      <c r="AC28" s="234" t="s">
        <v>60</v>
      </c>
      <c r="AI28" s="284"/>
    </row>
    <row r="29" spans="2:35" x14ac:dyDescent="0.2">
      <c r="B29" s="916" t="s">
        <v>171</v>
      </c>
      <c r="C29" s="917"/>
      <c r="D29" s="917"/>
      <c r="E29" s="917"/>
      <c r="F29" s="917" t="s">
        <v>172</v>
      </c>
      <c r="G29" s="917"/>
      <c r="H29" s="917"/>
      <c r="I29" s="917"/>
      <c r="J29" s="917" t="s">
        <v>173</v>
      </c>
      <c r="K29" s="917"/>
      <c r="L29" s="917"/>
      <c r="M29" s="917"/>
      <c r="N29" s="917" t="s">
        <v>191</v>
      </c>
      <c r="O29" s="917"/>
      <c r="P29" s="917"/>
      <c r="Q29" s="917"/>
      <c r="R29" s="287"/>
      <c r="AA29" s="326">
        <v>28</v>
      </c>
      <c r="AB29" s="234" t="str">
        <f>IF('RINCI 2'!J37=0,"Kosong",IF('RINCI 2'!J37&lt;85,"Di Bawah Rencana",IF('RINCI 2'!J37&gt;100,"Di Atas Rencana","Sesuai Rencana")))</f>
        <v>Di Atas Rencana</v>
      </c>
      <c r="AC29" s="234" t="s">
        <v>61</v>
      </c>
      <c r="AI29" s="284"/>
    </row>
    <row r="30" spans="2:35" x14ac:dyDescent="0.2">
      <c r="B30" s="916" t="s">
        <v>174</v>
      </c>
      <c r="C30" s="917"/>
      <c r="D30" s="917" t="s">
        <v>175</v>
      </c>
      <c r="E30" s="917"/>
      <c r="F30" s="917" t="s">
        <v>174</v>
      </c>
      <c r="G30" s="917"/>
      <c r="H30" s="917" t="s">
        <v>175</v>
      </c>
      <c r="I30" s="917"/>
      <c r="J30" s="917" t="s">
        <v>174</v>
      </c>
      <c r="K30" s="917"/>
      <c r="L30" s="917" t="s">
        <v>175</v>
      </c>
      <c r="M30" s="917"/>
      <c r="N30" s="917" t="s">
        <v>174</v>
      </c>
      <c r="O30" s="917"/>
      <c r="P30" s="917" t="s">
        <v>175</v>
      </c>
      <c r="Q30" s="917"/>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
      </c>
      <c r="F31" s="234" t="str">
        <f t="array" ref="F31">IF(ISERROR(INDEX($T$1:$U$10,SMALL(IF($T$1:$T$10=$X$4,ROW($T$1:$T$10)),ROW(1:1)),2)),"",INDEX($T$1:$U$10,SMALL(IF($T$1:$T$10=$X$4,ROW($T$1:$T$10)),ROW(1:1)),2))</f>
        <v>Wonogiri</v>
      </c>
      <c r="H31" s="234" t="str">
        <f t="array" ref="H31">IF(ISERROR(INDEX($AB$1:$AC$33,SMALL(IF($AB$1:$AB$33=$AF$4,ROW($AB$1:$AB$33)),ROW(1:1)),2)),"",INDEX($AB$1:$AC$33,SMALL(IF($AB$1:$AB$33=$AF$4,ROW($AB$1:$AB$33)),ROW(1:1)),2))</f>
        <v>Tempuran</v>
      </c>
      <c r="J31" s="234" t="str">
        <f t="array" ref="J31">IF(ISERROR(INDEX($T$1:$U$10,SMALL(IF($T$1:$T$10=$X$7,ROW($T$1:$T$10)),ROW(1:1)),2)),"",INDEX($T$1:$U$10,SMALL(IF($T$1:$T$10=$X$7,ROW($T$1:$T$10)),ROW(1:1)),2))</f>
        <v>Rawapening</v>
      </c>
      <c r="L31" s="234" t="str">
        <f t="array" ref="L31">IF(ISERROR(INDEX($AB$1:$AC$33,SMALL(IF($AB$1:$AB$33=$AF$7,ROW($AB$1:$AB$33)),ROW(1:1)),2)),"",INDEX($AB$1:$AC$33,SMALL(IF($AB$1:$AB$33=$AF$7,ROW($AB$1:$AB$33)),ROW(1:1)),2))</f>
        <v>Penjalin</v>
      </c>
      <c r="N31" s="234" t="str">
        <f t="array" ref="N31">IF(ISERROR(INDEX($T$1:$U$10,SMALL(IF($T$1:$T$10=$X$10,ROW($T$1:$T$10)),ROW(1:1)),2)),"",INDEX($T$1:$U$10,SMALL(IF($T$1:$T$10=$X$10,ROW($T$1:$T$10)),ROW(1:1)),2))</f>
        <v>Malahayu</v>
      </c>
      <c r="P31" s="234" t="str">
        <f t="array" ref="P31">IF(ISERROR(INDEX($AB$1:$AC$33,SMALL(IF($AB$1:$AB$33=$AF$10,ROW($AB$1:$AB$33)),ROW(1:1)),2)),"",INDEX($AB$1:$AC$33,SMALL(IF($AB$1:$AB$33=$AF$10,ROW($AB$1:$AB$33)),ROW(1:1)),2))</f>
        <v>Lodanwetan</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
      </c>
      <c r="H32" s="234" t="str">
        <f t="array" ref="H32">IF(ISERROR(INDEX($AB$1:$AC$33,SMALL(IF($AB$1:$AB$33=$AF$4,ROW($AB$1:$AB$33)),ROW(2:2)),2)),"",INDEX($AB$1:$AC$33,SMALL(IF($AB$1:$AB$33=$AF$4,ROW($AB$1:$AB$33)),ROW(2:2)),2))</f>
        <v>Greneng</v>
      </c>
      <c r="J32" s="234" t="str">
        <f t="array" ref="J32">IF(ISERROR(INDEX($T$1:$U$10,SMALL(IF($T$1:$T$10=$X$7,ROW($T$1:$T$10)),ROW(2:2)),2)),"",INDEX($T$1:$U$10,SMALL(IF($T$1:$T$10=$X$7,ROW($T$1:$T$10)),ROW(2:2)),2))</f>
        <v>Kedungombo</v>
      </c>
      <c r="L32" s="234" t="str">
        <f t="array" ref="L32">IF(ISERROR(INDEX($AB$1:$AC$33,SMALL(IF($AB$1:$AB$33=$AF$7,ROW($AB$1:$AB$33)),ROW(2:2)),2)),"",INDEX($AB$1:$AC$33,SMALL(IF($AB$1:$AB$33=$AF$7,ROW($AB$1:$AB$33)),ROW(2:2)),2))</f>
        <v>Gembong</v>
      </c>
      <c r="N32" s="234" t="str">
        <f t="array" ref="N32">IF(ISERROR(INDEX($T$1:$U$10,SMALL(IF($T$1:$T$10=$X$10,ROW($T$1:$T$10)),ROW(2:2)),2)),"",INDEX($T$1:$U$10,SMALL(IF($T$1:$T$10=$X$10,ROW($T$1:$T$10)),ROW(2:2)),2))</f>
        <v>Cacaban</v>
      </c>
      <c r="P32" s="234" t="str">
        <f t="array" ref="P32">IF(ISERROR(INDEX($AB$1:$AC$33,SMALL(IF($AB$1:$AB$33=$AF$10,ROW($AB$1:$AB$33)),ROW(2:2)),2)),"",INDEX($AB$1:$AC$33,SMALL(IF($AB$1:$AB$33=$AF$10,ROW($AB$1:$AB$33)),ROW(2:2)),2))</f>
        <v>Banyukuwung</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H33" s="234" t="str">
        <f t="array" ref="H33">IF(ISERROR(INDEX($AB$1:$AC$33,SMALL(IF($AB$1:$AB$33=$AF$4,ROW($AB$1:$AB$33)),ROW(3:3)),2)),"",INDEX($AB$1:$AC$33,SMALL(IF($AB$1:$AB$33=$AF$4,ROW($AB$1:$AB$33)),ROW(3:3)),2))</f>
        <v>Simo</v>
      </c>
      <c r="J33" s="234" t="str">
        <f t="array" ref="J33">IF(ISERROR(INDEX($T$1:$U$10,SMALL(IF($T$1:$T$10=$X$7,ROW($T$1:$T$10)),ROW(3:3)),2)),"",INDEX($T$1:$U$10,SMALL(IF($T$1:$T$10=$X$7,ROW($T$1:$T$10)),ROW(3:3)),2))</f>
        <v/>
      </c>
      <c r="L33" s="234" t="str">
        <f t="array" ref="L33">IF(ISERROR(INDEX($AB$1:$AC$33,SMALL(IF($AB$1:$AB$33=$AF$7,ROW($AB$1:$AB$33)),ROW(3:3)),2)),"",INDEX($AB$1:$AC$33,SMALL(IF($AB$1:$AB$33=$AF$7,ROW($AB$1:$AB$33)),ROW(3:3)),2))</f>
        <v>Gunungrowo</v>
      </c>
      <c r="N33" s="234" t="str">
        <f t="array" ref="N33">IF(ISERROR(INDEX($T$1:$U$10,SMALL(IF($T$1:$T$10=$X$10,ROW($T$1:$T$10)),ROW(3:3)),2)),"",INDEX($T$1:$U$10,SMALL(IF($T$1:$T$10=$X$10,ROW($T$1:$T$10)),ROW(3:3)),2))</f>
        <v>Sempor</v>
      </c>
      <c r="P33" s="234" t="str">
        <f t="array" ref="P33">IF(ISERROR(INDEX($AB$1:$AC$33,SMALL(IF($AB$1:$AB$33=$AF$10,ROW($AB$1:$AB$33)),ROW(3:3)),2)),"",INDEX($AB$1:$AC$33,SMALL(IF($AB$1:$AB$33=$AF$10,ROW($AB$1:$AB$33)),ROW(3:3)),2))</f>
        <v>Nglangon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
      </c>
      <c r="H34" s="234" t="str">
        <f t="array" ref="H34">IF(ISERROR(INDEX($AB$1:$AC$33,SMALL(IF($AB$1:$AB$33=$AF$4,ROW($AB$1:$AB$33)),ROW(4:4)),2)),"",INDEX($AB$1:$AC$33,SMALL(IF($AB$1:$AB$33=$AF$4,ROW($AB$1:$AB$33)),ROW(4:4)),2))</f>
        <v>Plumbon</v>
      </c>
      <c r="J34" s="234" t="str">
        <f t="array" ref="J34">IF(ISERROR(INDEX($T$1:$U$10,SMALL(IF($T$1:$T$10=$X$7,ROW($T$1:$T$10)),ROW(4:4)),2)),"",INDEX($T$1:$U$10,SMALL(IF($T$1:$T$10=$X$7,ROW($T$1:$T$10)),ROW(4:4)),2))</f>
        <v/>
      </c>
      <c r="L34" s="234" t="str">
        <f t="array" ref="L34">IF(ISERROR(INDEX($AB$1:$AC$33,SMALL(IF($AB$1:$AB$33=$AF$7,ROW($AB$1:$AB$33)),ROW(4:4)),2)),"",INDEX($AB$1:$AC$33,SMALL(IF($AB$1:$AB$33=$AF$7,ROW($AB$1:$AB$33)),ROW(4:4)),2))</f>
        <v>Krisak</v>
      </c>
      <c r="N34" s="234" t="str">
        <f t="array" ref="N34">IF(ISERROR(INDEX($T$1:$U$10,SMALL(IF($T$1:$T$10=$X$10,ROW($T$1:$T$10)),ROW(4:4)),2)),"",INDEX($T$1:$U$10,SMALL(IF($T$1:$T$10=$X$10,ROW($T$1:$T$10)),ROW(4:4)),2))</f>
        <v>Wadaslintang</v>
      </c>
      <c r="P34" s="234" t="str">
        <f t="array" ref="P34">IF(ISERROR(INDEX($AB$1:$AC$33,SMALL(IF($AB$1:$AB$33=$AF$10,ROW($AB$1:$AB$33)),ROW(4:4)),2)),"",INDEX($AB$1:$AC$33,SMALL(IF($AB$1:$AB$33=$AF$10,ROW($AB$1:$AB$33)),ROW(4:4)),2))</f>
        <v>Butak</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Songputri</v>
      </c>
      <c r="J35" s="234" t="str">
        <f t="array" ref="J35">IF(ISERROR(INDEX($T$1:$U$10,SMALL(IF($T$1:$T$10=$X$7,ROW($T$1:$T$10)),ROW(5:5)),2)),"",INDEX($T$1:$U$10,SMALL(IF($T$1:$T$10=$X$7,ROW($T$1:$T$10)),ROW(5:5)),2))</f>
        <v/>
      </c>
      <c r="L35" s="234" t="str">
        <f t="array" ref="L35">IF(ISERROR(INDEX($AB$1:$AC$33,SMALL(IF($AB$1:$AB$33=$AF$7,ROW($AB$1:$AB$33)),ROW(5:5)),2)),"",INDEX($AB$1:$AC$33,SMALL(IF($AB$1:$AB$33=$AF$7,ROW($AB$1:$AB$33)),ROW(5:5)),2))</f>
        <v>Parangjoho</v>
      </c>
      <c r="N35" s="234" t="str">
        <f t="array" ref="N35">IF(ISERROR(INDEX($T$1:$U$10,SMALL(IF($T$1:$T$10=$X$10,ROW($T$1:$T$10)),ROW(5:5)),2)),"",INDEX($T$1:$U$10,SMALL(IF($T$1:$T$10=$X$10,ROW($T$1:$T$10)),ROW(5:5)),2))</f>
        <v>Sudirman</v>
      </c>
      <c r="P35" s="234" t="str">
        <f t="array" ref="P35">IF(ISERROR(INDEX($AB$1:$AC$33,SMALL(IF($AB$1:$AB$33=$AF$10,ROW($AB$1:$AB$33)),ROW(5:5)),2)),"",INDEX($AB$1:$AC$33,SMALL(IF($AB$1:$AB$33=$AF$10,ROW($AB$1:$AB$33)),ROW(5:5)),2))</f>
        <v>Sanggeh</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Kedunguling</v>
      </c>
      <c r="J36" s="234" t="str">
        <f t="array" ref="J36">IF(ISERROR(INDEX($T$1:$U$10,SMALL(IF($T$1:$T$10=$X$7,ROW($T$1:$T$10)),ROW(6:6)),2)),"",INDEX($T$1:$U$10,SMALL(IF($T$1:$T$10=$X$7,ROW($T$1:$T$10)),ROW(6:6)),2))</f>
        <v/>
      </c>
      <c r="L36" s="234" t="str">
        <f t="array" ref="L36">IF(ISERROR(INDEX($AB$1:$AC$33,SMALL(IF($AB$1:$AB$33=$AF$7,ROW($AB$1:$AB$33)),ROW(6:6)),2)),"",INDEX($AB$1:$AC$33,SMALL(IF($AB$1:$AB$33=$AF$7,ROW($AB$1:$AB$33)),ROW(6:6)),2))</f>
        <v>Delingan</v>
      </c>
      <c r="N36" s="234" t="s">
        <v>337</v>
      </c>
      <c r="P36" s="234" t="str">
        <f t="array" ref="P36">IF(ISERROR(INDEX($AB$1:$AC$33,SMALL(IF($AB$1:$AB$33=$AF$10,ROW($AB$1:$AB$33)),ROW(6:6)),2)),"",INDEX($AB$1:$AC$33,SMALL(IF($AB$1:$AB$33=$AF$10,ROW($AB$1:$AB$33)),ROW(6:6)),2))</f>
        <v>Gebyar</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Nawangan</v>
      </c>
      <c r="J37" s="234" t="str">
        <f t="array" ref="J37">IF(ISERROR(INDEX($T$1:$U$10,SMALL(IF($T$1:$T$10=$X$7,ROW($T$1:$T$10)),ROW(7:7)),2)),"",INDEX($T$1:$U$10,SMALL(IF($T$1:$T$10=$X$7,ROW($T$1:$T$10)),ROW(7:7)),2))</f>
        <v/>
      </c>
      <c r="L37" s="234" t="str">
        <f t="array" ref="L37">IF(ISERROR(INDEX($AB$1:$AC$33,SMALL(IF($AB$1:$AB$33=$AF$7,ROW($AB$1:$AB$33)),ROW(7:7)),2)),"",INDEX($AB$1:$AC$33,SMALL(IF($AB$1:$AB$33=$AF$7,ROW($AB$1:$AB$33)),ROW(7:7)),2))</f>
        <v>Panohan</v>
      </c>
      <c r="N37" s="234" t="s">
        <v>336</v>
      </c>
      <c r="P37" s="234" t="str">
        <f t="array" ref="P37">IF(ISERROR(INDEX($AB$1:$AC$33,SMALL(IF($AB$1:$AB$33=$AF$10,ROW($AB$1:$AB$33)),ROW(7:7)),2)),"",INDEX($AB$1:$AC$33,SMALL(IF($AB$1:$AB$33=$AF$10,ROW($AB$1:$AB$33)),ROW(7:7)),2))</f>
        <v>Kembangan</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Ngancar</v>
      </c>
      <c r="J38" s="234" t="str">
        <f t="array" ref="J38">IF(ISERROR(INDEX($T$1:$U$10,SMALL(IF($T$1:$T$10=$X$7,ROW($T$1:$T$10)),ROW(8:8)),2)),"",INDEX($T$1:$U$10,SMALL(IF($T$1:$T$10=$X$7,ROW($T$1:$T$10)),ROW(8:8)),2))</f>
        <v/>
      </c>
      <c r="L38" s="234" t="str">
        <f t="array" ref="L38">IF(ISERROR(INDEX($AB$1:$AC$33,SMALL(IF($AB$1:$AB$33=$AF$7,ROW($AB$1:$AB$33)),ROW(8:8)),2)),"",INDEX($AB$1:$AC$33,SMALL(IF($AB$1:$AB$33=$AF$7,ROW($AB$1:$AB$33)),ROW(8:8)),2))</f>
        <v/>
      </c>
      <c r="P38" s="234" t="str">
        <f t="array" ref="P38">IF(ISERROR(INDEX($AB$1:$AC$33,SMALL(IF($AB$1:$AB$33=$AF$10,ROW($AB$1:$AB$33)),ROW(8:8)),2)),"",INDEX($AB$1:$AC$33,SMALL(IF($AB$1:$AB$33=$AF$10,ROW($AB$1:$AB$33)),ROW(8:8)),2))</f>
        <v>Botok</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Lalung</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Ketro</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Blimbing</v>
      </c>
      <c r="J40" s="234" t="str">
        <f t="array" ref="J40">IF(ISERROR(INDEX($T$1:$U$10,SMALL(IF($T$1:$T$10=$X$7,ROW($T$1:$T$10)),ROW(10:10)),2)),"",INDEX($T$1:$U$10,SMALL(IF($T$1:$T$10=$X$7,ROW($T$1:$T$10)),ROW(10:10)),2))</f>
        <v/>
      </c>
      <c r="L40" s="234" t="str">
        <f t="array" ref="L40">IF(ISERROR(INDEX($AB$1:$AC$33,SMALL(IF($AB$1:$AB$33=$AF$7,ROW($AB$1:$AB$33)),ROW(10:10)),2)),"",INDEX($AB$1:$AC$33,SMALL(IF($AB$1:$AB$33=$AF$7,ROW($AB$1:$AB$33)),ROW(10:10)),2))</f>
        <v/>
      </c>
      <c r="N40" s="234" t="str">
        <f t="array" ref="N40">IF(ISERROR(INDEX($T$1:$U$10,SMALL(IF($T$1:$T$10=$X$10,ROW($T$1:$T$10)),ROW(10:10)),2)),"",INDEX($T$1:$U$10,SMALL(IF($T$1:$T$10=$X$10,ROW($T$1:$T$10)),ROW(10:10)),2))</f>
        <v/>
      </c>
      <c r="P40" s="234" t="str">
        <f t="array" ref="P40">IF(ISERROR(INDEX($AB$1:$AC$33,SMALL(IF($AB$1:$AB$33=$AF$10,ROW($AB$1:$AB$33)),ROW(10:10)),2)),"",INDEX($AB$1:$AC$33,SMALL(IF($AB$1:$AB$33=$AF$10,ROW($AB$1:$AB$33)),ROW(10:10)),2))</f>
        <v>Brambang</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Cengklik</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Klego</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Jombor</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Mulur</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
        <v>335</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P52" s="234" t="str">
        <f t="array" ref="P52">IF(ISERROR(INDEX($AB$1:$AC$33,SMALL(IF($AB$1:$AB$33=$AF$10,ROW($AB$1:$AB$33)),ROW(22:22)),2)),"",INDEX($AB$1:$AC$33,SMALL(IF($AB$1:$AB$33=$AF$10,ROW($AB$1:$AB$33)),ROW(22:22)),2))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31"/>
  <sheetViews>
    <sheetView showGridLines="0"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 APRIL ( 2 APRIL S/D 8 APRIL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55</v>
      </c>
      <c r="G9" s="568">
        <f>+UTAMA!I11</f>
        <v>55.34</v>
      </c>
      <c r="H9" s="569">
        <f>+UTAMA!H11</f>
        <v>26.765999999999998</v>
      </c>
      <c r="I9" s="569">
        <f>+UTAMA!J11</f>
        <v>28.684999999999999</v>
      </c>
      <c r="J9" s="175">
        <f>IFERROR(+I9/H9*100%*100,0)</f>
        <v>107.16954345064636</v>
      </c>
      <c r="K9" s="176"/>
    </row>
    <row r="10" spans="2:12" ht="15" customHeight="1" x14ac:dyDescent="0.2">
      <c r="B10" s="563">
        <f t="shared" ref="B10:B19" si="0">+B9+1</f>
        <v>2</v>
      </c>
      <c r="C10" s="565" t="s">
        <v>30</v>
      </c>
      <c r="D10" s="566">
        <v>17481</v>
      </c>
      <c r="E10" s="567">
        <f>UTAMA!F13</f>
        <v>45.13</v>
      </c>
      <c r="F10" s="567">
        <f>+UTAMA!G13</f>
        <v>73.86</v>
      </c>
      <c r="G10" s="570">
        <f>+UTAMA!I13</f>
        <v>77.400000000000006</v>
      </c>
      <c r="H10" s="571">
        <f>+UTAMA!H13</f>
        <v>28.387</v>
      </c>
      <c r="I10" s="572">
        <f>+UTAMA!J13</f>
        <v>48.369</v>
      </c>
      <c r="J10" s="175">
        <f>IFERROR(+I10/H10*100%*100,0)</f>
        <v>170.39137633423752</v>
      </c>
      <c r="K10" s="176"/>
    </row>
    <row r="11" spans="2:12" ht="15" customHeight="1" x14ac:dyDescent="0.2">
      <c r="B11" s="563">
        <f t="shared" si="0"/>
        <v>3</v>
      </c>
      <c r="C11" s="565" t="s">
        <v>31</v>
      </c>
      <c r="D11" s="566">
        <v>19972</v>
      </c>
      <c r="E11" s="567">
        <f>UTAMA!F14</f>
        <v>49.9</v>
      </c>
      <c r="F11" s="567">
        <f>+UTAMA!G14</f>
        <v>462.9</v>
      </c>
      <c r="G11" s="570">
        <f>+UTAMA!I14</f>
        <v>462.88</v>
      </c>
      <c r="H11" s="571">
        <f>+UTAMA!H14</f>
        <v>45.993000000000002</v>
      </c>
      <c r="I11" s="572">
        <f>+UTAMA!J14</f>
        <v>45.558</v>
      </c>
      <c r="J11" s="175">
        <f t="shared" ref="J11:J19" si="1">IFERROR(+I11/H11*100%*100,0)</f>
        <v>99.054203900593564</v>
      </c>
      <c r="K11" s="176"/>
      <c r="L11" s="393"/>
    </row>
    <row r="12" spans="2:12" ht="15" customHeight="1" x14ac:dyDescent="0.2">
      <c r="B12" s="563">
        <f t="shared" si="0"/>
        <v>4</v>
      </c>
      <c r="C12" s="565" t="s">
        <v>34</v>
      </c>
      <c r="D12" s="566">
        <v>59544</v>
      </c>
      <c r="E12" s="567">
        <v>689.09</v>
      </c>
      <c r="F12" s="567">
        <f>+UTAMA!G17</f>
        <v>87.83</v>
      </c>
      <c r="G12" s="567">
        <f>+UTAMA!I17</f>
        <v>86.48</v>
      </c>
      <c r="H12" s="571">
        <f>+UTAMA!H17</f>
        <v>582.31799999999998</v>
      </c>
      <c r="I12" s="571">
        <f>UTAMA!J17</f>
        <v>522.17200000000003</v>
      </c>
      <c r="J12" s="175">
        <f>IFERROR(+I12/H12*100%*100,0)</f>
        <v>89.671279266654992</v>
      </c>
      <c r="K12" s="177"/>
    </row>
    <row r="13" spans="2:12" ht="15" customHeight="1" x14ac:dyDescent="0.2">
      <c r="B13" s="563">
        <f t="shared" si="0"/>
        <v>5</v>
      </c>
      <c r="C13" s="565" t="s">
        <v>44</v>
      </c>
      <c r="D13" s="566">
        <v>28109</v>
      </c>
      <c r="E13" s="667">
        <f>UTAMA!F27</f>
        <v>398.69</v>
      </c>
      <c r="F13" s="567">
        <f>+UTAMA!G27</f>
        <v>135.91999999999999</v>
      </c>
      <c r="G13" s="570">
        <f>+UTAMA!I27</f>
        <v>134.69999999999999</v>
      </c>
      <c r="H13" s="569">
        <f>+UTAMA!H27</f>
        <v>361.34500000000003</v>
      </c>
      <c r="I13" s="569">
        <f>+UTAMA!J27</f>
        <v>294.89999999999998</v>
      </c>
      <c r="J13" s="175">
        <f t="shared" si="1"/>
        <v>81.611756077986399</v>
      </c>
      <c r="K13" s="177"/>
    </row>
    <row r="14" spans="2:12" ht="15" customHeight="1" x14ac:dyDescent="0.2">
      <c r="B14" s="563">
        <f t="shared" si="0"/>
        <v>6</v>
      </c>
      <c r="C14" s="565" t="s">
        <v>64</v>
      </c>
      <c r="D14" s="566">
        <v>6485</v>
      </c>
      <c r="E14" s="567">
        <f>UTAMA!F49</f>
        <v>38.036000000000001</v>
      </c>
      <c r="F14" s="567">
        <f>+UTAMA!G49</f>
        <v>65.72</v>
      </c>
      <c r="G14" s="570">
        <f>+UTAMA!I49</f>
        <v>68.14</v>
      </c>
      <c r="H14" s="571">
        <f>+UTAMA!H49</f>
        <v>22.45</v>
      </c>
      <c r="I14" s="572">
        <f>+UTAMA!J49</f>
        <v>27.08</v>
      </c>
      <c r="J14" s="175">
        <f>IFERROR(+I14/H14*100%*100,0)</f>
        <v>120.62360801781738</v>
      </c>
      <c r="K14" s="177"/>
    </row>
    <row r="15" spans="2:12" ht="15" customHeight="1" x14ac:dyDescent="0.2">
      <c r="B15" s="563">
        <f t="shared" si="0"/>
        <v>7</v>
      </c>
      <c r="C15" s="565" t="s">
        <v>65</v>
      </c>
      <c r="D15" s="566">
        <v>31109</v>
      </c>
      <c r="E15" s="567">
        <f>UTAMA!F50</f>
        <v>388.72199999999998</v>
      </c>
      <c r="F15" s="567">
        <f>+UTAMA!G50</f>
        <v>167.5</v>
      </c>
      <c r="G15" s="570">
        <f>+UTAMA!I50</f>
        <v>167.82</v>
      </c>
      <c r="H15" s="571">
        <f>+UTAMA!H50</f>
        <v>221.56</v>
      </c>
      <c r="I15" s="572">
        <f>+UTAMA!J50</f>
        <v>224.35</v>
      </c>
      <c r="J15" s="175">
        <f t="shared" si="1"/>
        <v>101.25925257266655</v>
      </c>
      <c r="K15" s="177"/>
    </row>
    <row r="16" spans="2:12" ht="15" customHeight="1" x14ac:dyDescent="0.2">
      <c r="B16" s="563">
        <f t="shared" si="0"/>
        <v>8</v>
      </c>
      <c r="C16" s="565" t="s">
        <v>66</v>
      </c>
      <c r="D16" s="566">
        <v>8400</v>
      </c>
      <c r="E16" s="567">
        <f>UTAMA!F51</f>
        <v>23.24</v>
      </c>
      <c r="F16" s="567">
        <f>+UTAMA!G51</f>
        <v>228.79</v>
      </c>
      <c r="G16" s="570">
        <f>+UTAMA!I51</f>
        <v>230.52</v>
      </c>
      <c r="H16" s="571">
        <f>+UTAMA!H51</f>
        <v>4.7830000000000004</v>
      </c>
      <c r="I16" s="572">
        <f>+UTAMA!J51</f>
        <v>13.763</v>
      </c>
      <c r="J16" s="175">
        <f>IFERROR(+I16/H16*100%*100,0)</f>
        <v>287.74827514112479</v>
      </c>
      <c r="K16" s="177"/>
      <c r="L16" s="393"/>
    </row>
    <row r="17" spans="2:12" ht="15" customHeight="1" x14ac:dyDescent="0.2">
      <c r="B17" s="563">
        <f t="shared" si="0"/>
        <v>9</v>
      </c>
      <c r="C17" s="565" t="s">
        <v>336</v>
      </c>
      <c r="D17" s="566">
        <v>1500</v>
      </c>
      <c r="E17" s="800">
        <f>UTAMA!F28</f>
        <v>25</v>
      </c>
      <c r="F17" s="567">
        <f>UTAMA!G28</f>
        <v>184</v>
      </c>
      <c r="G17" s="570">
        <f>UTAMA!I28</f>
        <v>185.13</v>
      </c>
      <c r="H17" s="571">
        <f>UTAMA!H28</f>
        <v>23.12</v>
      </c>
      <c r="I17" s="572">
        <f>UTAMA!J28</f>
        <v>25.443999999999999</v>
      </c>
      <c r="J17" s="175">
        <f>IFERROR(+I17/H17*100%*100,0)</f>
        <v>110.05190311418684</v>
      </c>
      <c r="K17" s="177"/>
      <c r="L17" s="393"/>
    </row>
    <row r="18" spans="2:12" ht="15" customHeight="1" x14ac:dyDescent="0.2">
      <c r="B18" s="563">
        <f t="shared" si="0"/>
        <v>10</v>
      </c>
      <c r="C18" s="565" t="s">
        <v>337</v>
      </c>
      <c r="D18" s="566">
        <v>5296</v>
      </c>
      <c r="E18" s="800">
        <f>UTAMA!F343</f>
        <v>20.149999999999999</v>
      </c>
      <c r="F18" s="567">
        <f>UTAMA!G18</f>
        <v>88.5</v>
      </c>
      <c r="G18" s="570">
        <f>UTAMA!I18</f>
        <v>88.6</v>
      </c>
      <c r="H18" s="571">
        <f>UTAMA!H18</f>
        <v>19.395</v>
      </c>
      <c r="I18" s="572">
        <f>UTAMA!J18</f>
        <v>19.542999999999999</v>
      </c>
      <c r="J18" s="175">
        <f t="shared" ref="J18" si="2">IFERROR(+I18/H18*100%*100,0)</f>
        <v>100.76308326888372</v>
      </c>
      <c r="K18" s="177"/>
      <c r="L18" s="393"/>
    </row>
    <row r="19" spans="2:12" ht="15" customHeight="1" x14ac:dyDescent="0.2">
      <c r="B19" s="563">
        <f t="shared" si="0"/>
        <v>11</v>
      </c>
      <c r="C19" s="565" t="s">
        <v>217</v>
      </c>
      <c r="D19" s="566">
        <v>0</v>
      </c>
      <c r="E19" s="421">
        <f>UTAMA!F52</f>
        <v>17.670000000000002</v>
      </c>
      <c r="F19" s="567">
        <f>+UTAMA!G52</f>
        <v>148.24</v>
      </c>
      <c r="G19" s="570">
        <f>+UTAMA!I52</f>
        <v>149.46</v>
      </c>
      <c r="H19" s="571">
        <f>+UTAMA!H52</f>
        <v>9.85</v>
      </c>
      <c r="I19" s="572">
        <f>+UTAMA!J52</f>
        <v>15.54</v>
      </c>
      <c r="J19" s="175">
        <f t="shared" si="1"/>
        <v>157.76649746192894</v>
      </c>
      <c r="K19" s="177"/>
    </row>
    <row r="20" spans="2:12" ht="15" customHeight="1" thickBot="1" x14ac:dyDescent="0.25">
      <c r="B20" s="573"/>
      <c r="C20" s="574" t="s">
        <v>89</v>
      </c>
      <c r="D20" s="575">
        <f>SUM(D9:D16)</f>
        <v>206262</v>
      </c>
      <c r="E20" s="576">
        <f>SUM(E9:E19)</f>
        <v>1726.7725980000002</v>
      </c>
      <c r="F20" s="576"/>
      <c r="G20" s="575"/>
      <c r="H20" s="577">
        <f>SUM(H9:H19)</f>
        <v>1345.9669999999996</v>
      </c>
      <c r="I20" s="577">
        <f>SUM(I9:I19)</f>
        <v>1265.4039999999998</v>
      </c>
      <c r="J20" s="578">
        <f>I20/H20*100</f>
        <v>94.0144892111025</v>
      </c>
      <c r="K20" s="419"/>
    </row>
    <row r="21" spans="2:12" ht="15" customHeight="1" thickBot="1" x14ac:dyDescent="0.25">
      <c r="B21" s="579"/>
      <c r="C21" s="580" t="s">
        <v>69</v>
      </c>
      <c r="D21" s="580"/>
      <c r="E21" s="581"/>
      <c r="F21" s="582"/>
      <c r="G21" s="583"/>
      <c r="H21" s="584" t="s">
        <v>95</v>
      </c>
      <c r="I21" s="585">
        <f>+I20/H20*100%</f>
        <v>0.94014489211102503</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8</v>
      </c>
      <c r="K24" s="171"/>
    </row>
    <row r="25" spans="2:12" ht="15" customHeight="1" x14ac:dyDescent="0.2">
      <c r="B25" s="586"/>
      <c r="C25" s="586" t="s">
        <v>100</v>
      </c>
      <c r="D25" s="588" t="s">
        <v>98</v>
      </c>
      <c r="E25" s="588"/>
      <c r="F25" s="586" t="s">
        <v>101</v>
      </c>
      <c r="G25" s="586"/>
      <c r="H25" s="586"/>
      <c r="I25" s="170" t="s">
        <v>177</v>
      </c>
      <c r="J25" s="590">
        <f>COUNTIFS(J9:J19,"&gt;=85",J9:J19,"&lt;=100")</f>
        <v>2</v>
      </c>
      <c r="K25" s="171"/>
    </row>
    <row r="26" spans="2:12" ht="15" customHeight="1" x14ac:dyDescent="0.2">
      <c r="B26" s="586"/>
      <c r="C26" s="586" t="s">
        <v>102</v>
      </c>
      <c r="D26" s="588" t="s">
        <v>98</v>
      </c>
      <c r="E26" s="588"/>
      <c r="F26" s="586" t="s">
        <v>103</v>
      </c>
      <c r="G26" s="586"/>
      <c r="H26" s="586"/>
      <c r="I26" s="170" t="s">
        <v>177</v>
      </c>
      <c r="J26" s="591">
        <f>COUNTIFS(J9:J19,"&gt;0",J9:J19,"&lt;85")</f>
        <v>1</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18" t="s">
        <v>89</v>
      </c>
      <c r="H28" s="918"/>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16" priority="1" stopIfTrue="1" operator="between">
      <formula>85</formula>
      <formula>100</formula>
    </cfRule>
    <cfRule type="cellIs" dxfId="15" priority="3" stopIfTrue="1" operator="lessThan">
      <formula>85</formula>
    </cfRule>
    <cfRule type="cellIs" dxfId="14" priority="4" stopIfTrue="1" operator="greaterThan">
      <formula>85</formula>
    </cfRule>
    <cfRule type="cellIs" dxfId="13"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629E3"/>
  </sheetPr>
  <dimension ref="B2:L22"/>
  <sheetViews>
    <sheetView showGridLines="0" zoomScale="90" zoomScaleNormal="90" workbookViewId="0">
      <selection activeCell="N28" sqref="N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18" t="s">
        <v>156</v>
      </c>
      <c r="C2" s="918"/>
      <c r="D2" s="918"/>
      <c r="E2" s="918"/>
      <c r="F2" s="918"/>
      <c r="G2" s="918"/>
      <c r="H2" s="918"/>
      <c r="I2" s="918"/>
      <c r="J2" s="918"/>
      <c r="K2" s="170"/>
    </row>
    <row r="3" spans="2:12" x14ac:dyDescent="0.2">
      <c r="B3" s="918" t="s">
        <v>252</v>
      </c>
      <c r="C3" s="918"/>
      <c r="D3" s="918"/>
      <c r="E3" s="918"/>
      <c r="F3" s="918"/>
      <c r="G3" s="918"/>
      <c r="H3" s="918"/>
      <c r="I3" s="918"/>
      <c r="J3" s="918"/>
      <c r="K3" s="170"/>
    </row>
    <row r="4" spans="2:12" x14ac:dyDescent="0.2">
      <c r="B4" s="919" t="str">
        <f>+UTAMA!B4</f>
        <v xml:space="preserve">MINGGU KE I APRIL ( 2 APRIL S/D 8 APRIL 2024 ) dalam Juta m3 </v>
      </c>
      <c r="C4" s="919"/>
      <c r="D4" s="919"/>
      <c r="E4" s="919"/>
      <c r="F4" s="919"/>
      <c r="G4" s="919"/>
      <c r="H4" s="919"/>
      <c r="I4" s="919"/>
      <c r="J4" s="919"/>
      <c r="K4" s="171"/>
    </row>
    <row r="5" spans="2:12" ht="13.5" thickBot="1" x14ac:dyDescent="0.25">
      <c r="B5" s="169"/>
      <c r="C5" s="169"/>
      <c r="D5" s="169"/>
      <c r="E5" s="169"/>
      <c r="F5" s="169"/>
      <c r="G5" s="169"/>
      <c r="H5" s="169"/>
      <c r="I5" s="169"/>
      <c r="J5" s="169"/>
      <c r="K5" s="169"/>
    </row>
    <row r="6" spans="2:12" ht="14.25" x14ac:dyDescent="0.2">
      <c r="B6" s="924" t="s">
        <v>18</v>
      </c>
      <c r="C6" s="922" t="s">
        <v>270</v>
      </c>
      <c r="D6" s="920" t="s">
        <v>92</v>
      </c>
      <c r="E6" s="205" t="s">
        <v>25</v>
      </c>
      <c r="F6" s="928" t="s">
        <v>93</v>
      </c>
      <c r="G6" s="929"/>
      <c r="H6" s="926" t="s">
        <v>157</v>
      </c>
      <c r="I6" s="927"/>
      <c r="J6" s="559" t="s">
        <v>69</v>
      </c>
      <c r="K6" s="203" t="s">
        <v>125</v>
      </c>
    </row>
    <row r="7" spans="2:12" x14ac:dyDescent="0.2">
      <c r="B7" s="925"/>
      <c r="C7" s="923"/>
      <c r="D7" s="921"/>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31</v>
      </c>
      <c r="D9" s="566">
        <v>19972</v>
      </c>
      <c r="E9" s="567">
        <f>UTAMA!F14</f>
        <v>49.9</v>
      </c>
      <c r="F9" s="567">
        <f>+UTAMA!G14</f>
        <v>462.9</v>
      </c>
      <c r="G9" s="570">
        <f>+UTAMA!I14</f>
        <v>462.88</v>
      </c>
      <c r="H9" s="571">
        <f>+UTAMA!H14</f>
        <v>45.993000000000002</v>
      </c>
      <c r="I9" s="572">
        <f>+UTAMA!J14</f>
        <v>45.558</v>
      </c>
      <c r="J9" s="175">
        <f t="shared" ref="J9:J10" si="0">IFERROR(+I9/H9*100%*100,0)</f>
        <v>99.054203900593564</v>
      </c>
      <c r="K9" s="176"/>
      <c r="L9" s="393"/>
    </row>
    <row r="10" spans="2:12" ht="15" customHeight="1" x14ac:dyDescent="0.2">
      <c r="B10" s="563">
        <v>2</v>
      </c>
      <c r="C10" s="565" t="s">
        <v>217</v>
      </c>
      <c r="D10" s="566">
        <v>0</v>
      </c>
      <c r="E10" s="421">
        <f>UTAMA!F52</f>
        <v>17.670000000000002</v>
      </c>
      <c r="F10" s="567">
        <f>+UTAMA!G52</f>
        <v>148.24</v>
      </c>
      <c r="G10" s="570">
        <f>+UTAMA!I52</f>
        <v>149.46</v>
      </c>
      <c r="H10" s="571">
        <f>+UTAMA!H52</f>
        <v>9.85</v>
      </c>
      <c r="I10" s="572">
        <f>+UTAMA!J52</f>
        <v>15.54</v>
      </c>
      <c r="J10" s="175">
        <f t="shared" si="0"/>
        <v>157.76649746192894</v>
      </c>
      <c r="K10" s="177"/>
    </row>
    <row r="11" spans="2:12" ht="15" customHeight="1" thickBot="1" x14ac:dyDescent="0.25">
      <c r="B11" s="573"/>
      <c r="C11" s="574" t="s">
        <v>89</v>
      </c>
      <c r="D11" s="575">
        <f>SUM(D9:D9)</f>
        <v>19972</v>
      </c>
      <c r="E11" s="576">
        <f>SUM(E9:E10)</f>
        <v>67.569999999999993</v>
      </c>
      <c r="F11" s="576"/>
      <c r="G11" s="575"/>
      <c r="H11" s="577">
        <f>SUM(H9:H10)</f>
        <v>55.843000000000004</v>
      </c>
      <c r="I11" s="577">
        <f>SUM(I9:I10)</f>
        <v>61.097999999999999</v>
      </c>
      <c r="J11" s="578">
        <f>I11/H11*100</f>
        <v>109.41031105062406</v>
      </c>
      <c r="K11" s="419"/>
    </row>
    <row r="12" spans="2:12" ht="15" customHeight="1" thickBot="1" x14ac:dyDescent="0.25">
      <c r="B12" s="579"/>
      <c r="C12" s="580" t="s">
        <v>69</v>
      </c>
      <c r="D12" s="580"/>
      <c r="E12" s="581"/>
      <c r="F12" s="582"/>
      <c r="G12" s="583"/>
      <c r="H12" s="584" t="s">
        <v>95</v>
      </c>
      <c r="I12" s="585">
        <f>+I11/H11*100%</f>
        <v>1.0941031105062407</v>
      </c>
      <c r="J12" s="585"/>
      <c r="K12" s="420"/>
    </row>
    <row r="13" spans="2:12" x14ac:dyDescent="0.2">
      <c r="B13" s="586"/>
      <c r="C13" s="587" t="s">
        <v>90</v>
      </c>
      <c r="D13" s="587"/>
      <c r="E13" s="587"/>
      <c r="F13" s="586"/>
      <c r="G13" s="586"/>
      <c r="H13" s="586"/>
      <c r="I13" s="586"/>
      <c r="J13" s="586"/>
      <c r="K13" s="169"/>
    </row>
    <row r="14" spans="2:12" ht="15" customHeight="1" x14ac:dyDescent="0.2">
      <c r="B14" s="586"/>
      <c r="C14" s="586" t="s">
        <v>91</v>
      </c>
      <c r="D14" s="586"/>
      <c r="E14" s="586"/>
      <c r="F14" s="586"/>
      <c r="G14" s="586"/>
      <c r="H14" s="586"/>
      <c r="I14" s="586"/>
      <c r="J14" s="586" t="s">
        <v>96</v>
      </c>
      <c r="K14" s="169"/>
    </row>
    <row r="15" spans="2:12" ht="15" customHeight="1" x14ac:dyDescent="0.2">
      <c r="B15" s="586"/>
      <c r="C15" s="586" t="s">
        <v>97</v>
      </c>
      <c r="D15" s="588" t="s">
        <v>98</v>
      </c>
      <c r="E15" s="588"/>
      <c r="F15" s="586" t="s">
        <v>99</v>
      </c>
      <c r="G15" s="586"/>
      <c r="H15" s="586"/>
      <c r="I15" s="170" t="s">
        <v>177</v>
      </c>
      <c r="J15" s="589">
        <f>COUNTIF(J9:J10,"&gt;100")</f>
        <v>1</v>
      </c>
      <c r="K15" s="171"/>
    </row>
    <row r="16" spans="2:12" ht="15" customHeight="1" x14ac:dyDescent="0.2">
      <c r="B16" s="586"/>
      <c r="C16" s="586" t="s">
        <v>100</v>
      </c>
      <c r="D16" s="588" t="s">
        <v>98</v>
      </c>
      <c r="E16" s="588"/>
      <c r="F16" s="586" t="s">
        <v>101</v>
      </c>
      <c r="G16" s="586"/>
      <c r="H16" s="586"/>
      <c r="I16" s="170" t="s">
        <v>177</v>
      </c>
      <c r="J16" s="590">
        <f>COUNTIFS(J9:J10,"&gt;=85",J9:J10,"&lt;=100")</f>
        <v>1</v>
      </c>
      <c r="K16" s="171"/>
    </row>
    <row r="17" spans="2:11" ht="15" customHeight="1" x14ac:dyDescent="0.2">
      <c r="B17" s="586"/>
      <c r="C17" s="586" t="s">
        <v>102</v>
      </c>
      <c r="D17" s="588" t="s">
        <v>98</v>
      </c>
      <c r="E17" s="588"/>
      <c r="F17" s="586" t="s">
        <v>103</v>
      </c>
      <c r="G17" s="586"/>
      <c r="H17" s="586"/>
      <c r="I17" s="170" t="s">
        <v>177</v>
      </c>
      <c r="J17" s="591">
        <f>COUNTIFS(J9:J10,"&gt;0",J9:J10,"&lt;85")</f>
        <v>0</v>
      </c>
      <c r="K17" s="171"/>
    </row>
    <row r="18" spans="2:11" ht="15" customHeight="1" thickBot="1" x14ac:dyDescent="0.25">
      <c r="B18" s="586"/>
      <c r="C18" s="592">
        <v>0</v>
      </c>
      <c r="D18" s="588" t="s">
        <v>98</v>
      </c>
      <c r="E18" s="588"/>
      <c r="F18" s="586" t="s">
        <v>104</v>
      </c>
      <c r="G18" s="586"/>
      <c r="H18" s="586"/>
      <c r="I18" s="170" t="s">
        <v>177</v>
      </c>
      <c r="J18" s="593">
        <f>COUNTIF(J9:J9,"0")</f>
        <v>0</v>
      </c>
      <c r="K18" s="171"/>
    </row>
    <row r="19" spans="2:11" ht="15" customHeight="1" thickTop="1" x14ac:dyDescent="0.2">
      <c r="B19" s="586"/>
      <c r="C19" s="586"/>
      <c r="D19" s="586"/>
      <c r="E19" s="586"/>
      <c r="F19" s="586"/>
      <c r="G19" s="918" t="s">
        <v>89</v>
      </c>
      <c r="H19" s="918"/>
      <c r="I19" s="594" t="s">
        <v>98</v>
      </c>
      <c r="J19" s="595">
        <f>SUM(J15:J18)</f>
        <v>2</v>
      </c>
      <c r="K19" s="171"/>
    </row>
    <row r="20" spans="2:11" ht="17.100000000000001" customHeight="1" x14ac:dyDescent="0.25">
      <c r="G20" s="172"/>
      <c r="H20" s="172"/>
      <c r="I20" s="173"/>
      <c r="J20" s="172"/>
      <c r="K20" s="172"/>
    </row>
    <row r="21" spans="2:11" ht="17.100000000000001" customHeight="1" x14ac:dyDescent="0.25">
      <c r="G21" s="172"/>
      <c r="H21" s="172"/>
      <c r="I21" s="173"/>
      <c r="J21" s="172"/>
      <c r="K21" s="172"/>
    </row>
    <row r="22" spans="2:11" x14ac:dyDescent="0.2">
      <c r="J22" s="168"/>
      <c r="K22" s="168"/>
    </row>
  </sheetData>
  <mergeCells count="9">
    <mergeCell ref="G19:H19"/>
    <mergeCell ref="B2:J2"/>
    <mergeCell ref="B3:J3"/>
    <mergeCell ref="B4:J4"/>
    <mergeCell ref="B6:B7"/>
    <mergeCell ref="C6:C7"/>
    <mergeCell ref="D6:D7"/>
    <mergeCell ref="F6:G6"/>
    <mergeCell ref="H6:I6"/>
  </mergeCells>
  <conditionalFormatting sqref="J9:J10">
    <cfRule type="cellIs" dxfId="12" priority="1" stopIfTrue="1" operator="between">
      <formula>85</formula>
      <formula>100</formula>
    </cfRule>
    <cfRule type="cellIs" dxfId="11" priority="2" stopIfTrue="1" operator="lessThan">
      <formula>85</formula>
    </cfRule>
    <cfRule type="cellIs" dxfId="10" priority="3" stopIfTrue="1" operator="greaterThan">
      <formula>85</formula>
    </cfRule>
    <cfRule type="cellIs" dxfId="9"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P68"/>
  <sheetViews>
    <sheetView showGridLines="0" topLeftCell="A5" zoomScale="90" zoomScaleNormal="90" workbookViewId="0">
      <selection activeCell="G33" sqref="G33"/>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0" t="s">
        <v>158</v>
      </c>
      <c r="C2" s="930"/>
      <c r="D2" s="930"/>
      <c r="E2" s="930"/>
      <c r="F2" s="930"/>
      <c r="G2" s="930"/>
      <c r="H2" s="930"/>
      <c r="I2" s="930"/>
      <c r="J2" s="930"/>
    </row>
    <row r="3" spans="2:10" ht="15.75" x14ac:dyDescent="0.2">
      <c r="B3" s="930" t="s">
        <v>252</v>
      </c>
      <c r="C3" s="930"/>
      <c r="D3" s="930"/>
      <c r="E3" s="930"/>
      <c r="F3" s="930"/>
      <c r="G3" s="930"/>
      <c r="H3" s="930"/>
      <c r="I3" s="930"/>
      <c r="J3" s="930"/>
    </row>
    <row r="4" spans="2:10" ht="15.75" x14ac:dyDescent="0.2">
      <c r="B4" s="930" t="str">
        <f>+UTAMA!B4</f>
        <v xml:space="preserve">MINGGU KE I APRIL ( 2 APRIL S/D 8 APRIL 2024 ) dalam Juta m3 </v>
      </c>
      <c r="C4" s="930"/>
      <c r="D4" s="930"/>
      <c r="E4" s="930"/>
      <c r="F4" s="930"/>
      <c r="G4" s="930"/>
      <c r="H4" s="930"/>
      <c r="I4" s="930"/>
      <c r="J4" s="930"/>
    </row>
    <row r="5" spans="2:10" ht="13.5" customHeight="1" thickBot="1" x14ac:dyDescent="0.25"/>
    <row r="6" spans="2:10" ht="21" customHeight="1" x14ac:dyDescent="0.2">
      <c r="B6" s="933" t="s">
        <v>18</v>
      </c>
      <c r="C6" s="931" t="s">
        <v>270</v>
      </c>
      <c r="D6" s="250" t="s">
        <v>105</v>
      </c>
      <c r="E6" s="251" t="s">
        <v>25</v>
      </c>
      <c r="F6" s="935" t="s">
        <v>106</v>
      </c>
      <c r="G6" s="936"/>
      <c r="H6" s="937" t="s">
        <v>159</v>
      </c>
      <c r="I6" s="938"/>
      <c r="J6" s="252" t="s">
        <v>69</v>
      </c>
    </row>
    <row r="7" spans="2:10" ht="15.75" x14ac:dyDescent="0.2">
      <c r="B7" s="934"/>
      <c r="C7" s="932"/>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339.5</v>
      </c>
      <c r="G9" s="608">
        <f>+UTAMA!I12</f>
        <v>339.12</v>
      </c>
      <c r="H9" s="609">
        <f>+UTAMA!H12</f>
        <v>7.77</v>
      </c>
      <c r="I9" s="609">
        <f>+UTAMA!J12</f>
        <v>7.4550000000000001</v>
      </c>
      <c r="J9" s="610">
        <f t="shared" ref="J9:J41" si="0">IFERROR(+I9/H9*100%*100,0)</f>
        <v>95.945945945945951</v>
      </c>
    </row>
    <row r="10" spans="2:10" ht="15.75" hidden="1" x14ac:dyDescent="0.2">
      <c r="B10" s="601">
        <f>1+B9</f>
        <v>2</v>
      </c>
      <c r="C10" s="604" t="s">
        <v>32</v>
      </c>
      <c r="D10" s="605">
        <v>4959</v>
      </c>
      <c r="E10" s="606">
        <f>UTAMA!F15</f>
        <v>9.5030000000000001</v>
      </c>
      <c r="F10" s="607">
        <f>+UTAMA!G15</f>
        <v>206.35</v>
      </c>
      <c r="G10" s="608">
        <f>+UTAMA!I15</f>
        <v>206.27</v>
      </c>
      <c r="H10" s="609">
        <f>+UTAMA!H15</f>
        <v>8.7219999999999995</v>
      </c>
      <c r="I10" s="609">
        <f>UTAMA!J15</f>
        <v>8.6329999999999991</v>
      </c>
      <c r="J10" s="610">
        <f t="shared" si="0"/>
        <v>98.979591836734699</v>
      </c>
    </row>
    <row r="11" spans="2:10" ht="15.75" hidden="1" x14ac:dyDescent="0.2">
      <c r="B11" s="601">
        <f t="shared" ref="B11:B41" si="1">+B10+1</f>
        <v>3</v>
      </c>
      <c r="C11" s="604" t="s">
        <v>33</v>
      </c>
      <c r="D11" s="605">
        <v>6052</v>
      </c>
      <c r="E11" s="606">
        <f>UTAMA!F16</f>
        <v>5.1509999999999998</v>
      </c>
      <c r="F11" s="607">
        <f>+UTAMA!G16</f>
        <v>317.60000000000002</v>
      </c>
      <c r="G11" s="608">
        <f>+UTAMA!I16</f>
        <v>318.74</v>
      </c>
      <c r="H11" s="609">
        <f>+UTAMA!H16</f>
        <v>4.6500000000000004</v>
      </c>
      <c r="I11" s="609">
        <f>UTAMA!J16</f>
        <v>4.5250000000000004</v>
      </c>
      <c r="J11" s="610">
        <f t="shared" si="0"/>
        <v>97.311827956989248</v>
      </c>
    </row>
    <row r="12" spans="2:10" ht="15.75" hidden="1" x14ac:dyDescent="0.2">
      <c r="B12" s="601">
        <f t="shared" si="1"/>
        <v>4</v>
      </c>
      <c r="C12" s="604" t="s">
        <v>35</v>
      </c>
      <c r="D12" s="605">
        <v>923</v>
      </c>
      <c r="E12" s="606">
        <f>UTAMA!F19</f>
        <v>2.0920000000000001</v>
      </c>
      <c r="F12" s="607">
        <f>+UTAMA!G19</f>
        <v>119.21</v>
      </c>
      <c r="G12" s="611">
        <f>+UTAMA!I19</f>
        <v>116.11</v>
      </c>
      <c r="H12" s="609">
        <f>+UTAMA!H19</f>
        <v>1.532</v>
      </c>
      <c r="I12" s="612">
        <f>UTAMA!J19</f>
        <v>0.35299999999999998</v>
      </c>
      <c r="J12" s="610">
        <f t="shared" si="0"/>
        <v>23.041775456919058</v>
      </c>
    </row>
    <row r="13" spans="2:10" ht="15.75" hidden="1" x14ac:dyDescent="0.2">
      <c r="B13" s="601">
        <f t="shared" si="1"/>
        <v>5</v>
      </c>
      <c r="C13" s="604" t="s">
        <v>36</v>
      </c>
      <c r="D13" s="605">
        <v>251</v>
      </c>
      <c r="E13" s="606">
        <f>UTAMA!F20</f>
        <v>2.3530000000000002</v>
      </c>
      <c r="F13" s="607">
        <f>+UTAMA!G20</f>
        <v>119</v>
      </c>
      <c r="G13" s="611">
        <f>+UTAMA!I20</f>
        <v>118.59</v>
      </c>
      <c r="H13" s="609">
        <f>+UTAMA!H20</f>
        <v>1.4730000000000001</v>
      </c>
      <c r="I13" s="612">
        <f>UTAMA!J20</f>
        <v>0.88100000000000001</v>
      </c>
      <c r="J13" s="832">
        <f t="shared" si="0"/>
        <v>59.809911744738628</v>
      </c>
    </row>
    <row r="14" spans="2:10" ht="15.75" hidden="1" x14ac:dyDescent="0.2">
      <c r="B14" s="601">
        <f t="shared" si="1"/>
        <v>6</v>
      </c>
      <c r="C14" s="604" t="s">
        <v>37</v>
      </c>
      <c r="D14" s="605">
        <v>440</v>
      </c>
      <c r="E14" s="606">
        <f>UTAMA!F21</f>
        <v>4.5999999999999996</v>
      </c>
      <c r="F14" s="607">
        <f>+UTAMA!G21</f>
        <v>43.57</v>
      </c>
      <c r="G14" s="611">
        <f>+UTAMA!I21</f>
        <v>44.5</v>
      </c>
      <c r="H14" s="609">
        <f>+UTAMA!H21</f>
        <v>2.355</v>
      </c>
      <c r="I14" s="612">
        <f>UTAMA!J21</f>
        <v>4.5270000000000001</v>
      </c>
      <c r="J14" s="610">
        <f t="shared" si="0"/>
        <v>192.22929936305732</v>
      </c>
    </row>
    <row r="15" spans="2:10" ht="15.75" hidden="1" x14ac:dyDescent="0.2">
      <c r="B15" s="601">
        <f t="shared" si="1"/>
        <v>7</v>
      </c>
      <c r="C15" s="604" t="s">
        <v>39</v>
      </c>
      <c r="D15" s="605">
        <v>775</v>
      </c>
      <c r="E15" s="606">
        <f>UTAMA!F22</f>
        <v>2.4159999999999999</v>
      </c>
      <c r="F15" s="607">
        <f>+UTAMA!G22</f>
        <v>47.84</v>
      </c>
      <c r="G15" s="608">
        <f>+UTAMA!I22</f>
        <v>51.13</v>
      </c>
      <c r="H15" s="609">
        <f>+UTAMA!H22</f>
        <v>1.8160000000000001</v>
      </c>
      <c r="I15" s="609">
        <f>UTAMA!J22</f>
        <v>2.3889999999999998</v>
      </c>
      <c r="J15" s="610">
        <f t="shared" si="0"/>
        <v>131.55286343612335</v>
      </c>
    </row>
    <row r="16" spans="2:10" ht="15.75" hidden="1" x14ac:dyDescent="0.2">
      <c r="B16" s="601">
        <f t="shared" si="1"/>
        <v>8</v>
      </c>
      <c r="C16" s="604" t="s">
        <v>40</v>
      </c>
      <c r="D16" s="605">
        <v>750</v>
      </c>
      <c r="E16" s="606">
        <f>UTAMA!F23</f>
        <v>1.093</v>
      </c>
      <c r="F16" s="607">
        <f>+UTAMA!G23</f>
        <v>78.31</v>
      </c>
      <c r="G16" s="608">
        <f>+UTAMA!I23</f>
        <v>77.790000000000006</v>
      </c>
      <c r="H16" s="609">
        <f>+UTAMA!H23</f>
        <v>0.65800000000000003</v>
      </c>
      <c r="I16" s="609">
        <f>UTAMA!J23</f>
        <v>0.88300000000000001</v>
      </c>
      <c r="J16" s="610">
        <f t="shared" si="0"/>
        <v>134.19452887537992</v>
      </c>
    </row>
    <row r="17" spans="2:13" ht="15.75" hidden="1" x14ac:dyDescent="0.2">
      <c r="B17" s="601">
        <f t="shared" si="1"/>
        <v>9</v>
      </c>
      <c r="C17" s="604" t="s">
        <v>41</v>
      </c>
      <c r="D17" s="605">
        <v>482</v>
      </c>
      <c r="E17" s="606">
        <v>0.42899999999999999</v>
      </c>
      <c r="F17" s="607">
        <f>+UTAMA!G24</f>
        <v>81.08</v>
      </c>
      <c r="G17" s="608">
        <f>+UTAMA!I24</f>
        <v>81.55</v>
      </c>
      <c r="H17" s="609">
        <f>+UTAMA!H24</f>
        <v>0.28399999999999997</v>
      </c>
      <c r="I17" s="609">
        <f>UTAMA!J24</f>
        <v>5.8000000000000003E-2</v>
      </c>
      <c r="J17" s="610">
        <f t="shared" si="0"/>
        <v>20.422535211267608</v>
      </c>
    </row>
    <row r="18" spans="2:13" ht="15.75" hidden="1" x14ac:dyDescent="0.2">
      <c r="B18" s="601">
        <f t="shared" si="1"/>
        <v>10</v>
      </c>
      <c r="C18" s="604" t="s">
        <v>42</v>
      </c>
      <c r="D18" s="605">
        <v>366</v>
      </c>
      <c r="E18" s="606">
        <f>UTAMA!F25</f>
        <v>0.25</v>
      </c>
      <c r="F18" s="607">
        <f>+UTAMA!G25</f>
        <v>69.05</v>
      </c>
      <c r="G18" s="611">
        <f>+UTAMA!I25</f>
        <v>63.59</v>
      </c>
      <c r="H18" s="609">
        <f>+UTAMA!H25</f>
        <v>0.13200000000000001</v>
      </c>
      <c r="I18" s="612">
        <f>UTAMA!J25</f>
        <v>0.20300000000000001</v>
      </c>
      <c r="J18" s="610">
        <f t="shared" si="0"/>
        <v>153.78787878787878</v>
      </c>
    </row>
    <row r="19" spans="2:13" ht="15.75" hidden="1" x14ac:dyDescent="0.2">
      <c r="B19" s="601">
        <f>+B18+1</f>
        <v>11</v>
      </c>
      <c r="C19" s="604" t="s">
        <v>43</v>
      </c>
      <c r="D19" s="605">
        <v>260</v>
      </c>
      <c r="E19" s="606">
        <f>UTAMA!F26</f>
        <v>0.38500000000000001</v>
      </c>
      <c r="F19" s="607">
        <f>+UTAMA!G26</f>
        <v>44.98</v>
      </c>
      <c r="G19" s="611">
        <f>+UTAMA!I26</f>
        <v>46.69</v>
      </c>
      <c r="H19" s="609">
        <f>+UTAMA!H26</f>
        <v>9.8000000000000004E-2</v>
      </c>
      <c r="I19" s="612">
        <f>UTAMA!J26</f>
        <v>0.34899999999999998</v>
      </c>
      <c r="J19" s="610">
        <f t="shared" si="0"/>
        <v>356.12244897959181</v>
      </c>
    </row>
    <row r="20" spans="2:13" ht="15.75" hidden="1" x14ac:dyDescent="0.2">
      <c r="B20" s="815">
        <f t="shared" ref="B20:B21" si="2">+B19+1</f>
        <v>12</v>
      </c>
      <c r="C20" s="604" t="s">
        <v>335</v>
      </c>
      <c r="D20" s="825">
        <v>4680</v>
      </c>
      <c r="E20" s="826">
        <f>UTAMA!F36</f>
        <v>9.15</v>
      </c>
      <c r="F20" s="827">
        <f>UTAMA!G39</f>
        <v>325.3</v>
      </c>
      <c r="G20" s="828">
        <f>UTAMA!I39</f>
        <v>325.5</v>
      </c>
      <c r="H20" s="829">
        <f>UTAMA!H39</f>
        <v>0.622</v>
      </c>
      <c r="I20" s="609">
        <f>UTAMA!J39</f>
        <v>0.64100000000000001</v>
      </c>
      <c r="J20" s="610">
        <f t="shared" si="0"/>
        <v>103.05466237942123</v>
      </c>
    </row>
    <row r="21" spans="2:13" ht="15.75" hidden="1" x14ac:dyDescent="0.2">
      <c r="B21" s="601">
        <f t="shared" si="2"/>
        <v>13</v>
      </c>
      <c r="C21" s="604" t="s">
        <v>45</v>
      </c>
      <c r="D21" s="605">
        <v>340</v>
      </c>
      <c r="E21" s="666">
        <f>UTAMA!F29</f>
        <v>2.3410000000000002</v>
      </c>
      <c r="F21" s="607">
        <f>+UTAMA!G29</f>
        <v>113.3</v>
      </c>
      <c r="G21" s="611">
        <f>+UTAMA!I29</f>
        <v>112.96</v>
      </c>
      <c r="H21" s="609">
        <f>+UTAMA!H29</f>
        <v>2.2490000000000001</v>
      </c>
      <c r="I21" s="612">
        <f>+UTAMA!J29</f>
        <v>2.0950000000000002</v>
      </c>
      <c r="J21" s="610">
        <f t="shared" si="0"/>
        <v>93.152512227656743</v>
      </c>
      <c r="M21" s="798"/>
    </row>
    <row r="22" spans="2:13" ht="15.75" hidden="1" x14ac:dyDescent="0.2">
      <c r="B22" s="601">
        <f>+B21+1</f>
        <v>14</v>
      </c>
      <c r="C22" s="604" t="s">
        <v>46</v>
      </c>
      <c r="D22" s="605">
        <v>392</v>
      </c>
      <c r="E22" s="666">
        <f>UTAMA!F30</f>
        <v>0.32300000000000001</v>
      </c>
      <c r="F22" s="607">
        <f>+UTAMA!G30</f>
        <v>203.63</v>
      </c>
      <c r="G22" s="611">
        <f>+UTAMA!I30</f>
        <v>199.95</v>
      </c>
      <c r="H22" s="609">
        <f>+UTAMA!H30</f>
        <v>0.28599999999999998</v>
      </c>
      <c r="I22" s="612">
        <f>+UTAMA!J30</f>
        <v>2.7E-2</v>
      </c>
      <c r="J22" s="610">
        <f t="shared" si="0"/>
        <v>9.4405594405594417</v>
      </c>
    </row>
    <row r="23" spans="2:13" ht="15.75" hidden="1" x14ac:dyDescent="0.2">
      <c r="B23" s="601">
        <f t="shared" si="1"/>
        <v>15</v>
      </c>
      <c r="C23" s="604" t="s">
        <v>47</v>
      </c>
      <c r="D23" s="605">
        <v>394</v>
      </c>
      <c r="E23" s="666">
        <f>UTAMA!F31</f>
        <v>0.42899999999999999</v>
      </c>
      <c r="F23" s="607">
        <f>+UTAMA!G31</f>
        <v>223.78</v>
      </c>
      <c r="G23" s="611">
        <f>+UTAMA!I31</f>
        <v>220.83</v>
      </c>
      <c r="H23" s="609">
        <f>+UTAMA!H31</f>
        <v>0.40799999999999997</v>
      </c>
      <c r="I23" s="612">
        <f>+UTAMA!J31</f>
        <v>0.19700000000000001</v>
      </c>
      <c r="J23" s="610">
        <f t="shared" si="0"/>
        <v>48.2843137254902</v>
      </c>
    </row>
    <row r="24" spans="2:13" ht="15.75" hidden="1" x14ac:dyDescent="0.2">
      <c r="B24" s="601">
        <f t="shared" si="1"/>
        <v>16</v>
      </c>
      <c r="C24" s="604" t="s">
        <v>48</v>
      </c>
      <c r="D24" s="605">
        <v>707</v>
      </c>
      <c r="E24" s="666">
        <f>UTAMA!F32</f>
        <v>0.77100000000000002</v>
      </c>
      <c r="F24" s="607">
        <f>+UTAMA!G32</f>
        <v>195</v>
      </c>
      <c r="G24" s="611">
        <f>+UTAMA!I32</f>
        <v>194.7</v>
      </c>
      <c r="H24" s="609">
        <f>+UTAMA!H32</f>
        <v>0.58399999999999996</v>
      </c>
      <c r="I24" s="612">
        <f>+UTAMA!J32</f>
        <v>0.53100000000000003</v>
      </c>
      <c r="J24" s="610">
        <f t="shared" si="0"/>
        <v>90.924657534246592</v>
      </c>
    </row>
    <row r="25" spans="2:13" ht="15.75" hidden="1" x14ac:dyDescent="0.2">
      <c r="B25" s="601">
        <f>+B24+1</f>
        <v>17</v>
      </c>
      <c r="C25" s="604" t="s">
        <v>49</v>
      </c>
      <c r="D25" s="605">
        <v>92</v>
      </c>
      <c r="E25" s="666">
        <f>UTAMA!F33</f>
        <v>0.22600000000000001</v>
      </c>
      <c r="F25" s="607">
        <f>+UTAMA!G33</f>
        <v>165.47</v>
      </c>
      <c r="G25" s="611">
        <f>+UTAMA!I33</f>
        <v>164.69</v>
      </c>
      <c r="H25" s="609">
        <f>+UTAMA!H33</f>
        <v>0.28799999999999998</v>
      </c>
      <c r="I25" s="612">
        <f>+UTAMA!J33</f>
        <v>0.2</v>
      </c>
      <c r="J25" s="610">
        <f t="shared" si="0"/>
        <v>69.444444444444457</v>
      </c>
    </row>
    <row r="26" spans="2:13" ht="15.75" hidden="1" x14ac:dyDescent="0.2">
      <c r="B26" s="601">
        <f t="shared" si="1"/>
        <v>18</v>
      </c>
      <c r="C26" s="604" t="s">
        <v>50</v>
      </c>
      <c r="D26" s="605">
        <v>319</v>
      </c>
      <c r="E26" s="666">
        <f>UTAMA!F34</f>
        <v>0.71399999999999997</v>
      </c>
      <c r="F26" s="607">
        <f>+UTAMA!G34</f>
        <v>228.07</v>
      </c>
      <c r="G26" s="611">
        <f>+UTAMA!I34</f>
        <v>222.41</v>
      </c>
      <c r="H26" s="609">
        <f>+UTAMA!H34</f>
        <v>0.628</v>
      </c>
      <c r="I26" s="612">
        <f>+UTAMA!J34</f>
        <v>0.183</v>
      </c>
      <c r="J26" s="610">
        <f t="shared" si="0"/>
        <v>29.140127388535031</v>
      </c>
    </row>
    <row r="27" spans="2:13" ht="15.75" hidden="1" x14ac:dyDescent="0.2">
      <c r="B27" s="601">
        <f t="shared" si="1"/>
        <v>19</v>
      </c>
      <c r="C27" s="604" t="s">
        <v>51</v>
      </c>
      <c r="D27" s="605">
        <v>635</v>
      </c>
      <c r="E27" s="666">
        <f>UTAMA!F35</f>
        <v>1.708</v>
      </c>
      <c r="F27" s="607">
        <f>+UTAMA!G35</f>
        <v>248.7</v>
      </c>
      <c r="G27" s="611">
        <f>+UTAMA!I35</f>
        <v>245.4</v>
      </c>
      <c r="H27" s="609">
        <f>+UTAMA!H35</f>
        <v>1.708</v>
      </c>
      <c r="I27" s="612">
        <f>+UTAMA!J35</f>
        <v>0.85599999999999998</v>
      </c>
      <c r="J27" s="610">
        <f t="shared" si="0"/>
        <v>50.11709601873536</v>
      </c>
    </row>
    <row r="28" spans="2:13" ht="15.75" hidden="1" x14ac:dyDescent="0.2">
      <c r="B28" s="601">
        <f t="shared" si="1"/>
        <v>20</v>
      </c>
      <c r="C28" s="604" t="s">
        <v>52</v>
      </c>
      <c r="D28" s="605">
        <v>2000</v>
      </c>
      <c r="E28" s="666">
        <f>UTAMA!F37</f>
        <v>4.3979999999999997</v>
      </c>
      <c r="F28" s="607">
        <f>+UTAMA!G37</f>
        <v>148.74</v>
      </c>
      <c r="G28" s="608">
        <f>+UTAMA!I37</f>
        <v>143.79</v>
      </c>
      <c r="H28" s="609">
        <f>+UTAMA!H37</f>
        <v>2.4540000000000002</v>
      </c>
      <c r="I28" s="609">
        <f>+UTAMA!J37</f>
        <v>0.378</v>
      </c>
      <c r="J28" s="610">
        <f t="shared" si="0"/>
        <v>15.403422982885084</v>
      </c>
    </row>
    <row r="29" spans="2:13" ht="15.75" x14ac:dyDescent="0.2">
      <c r="B29" s="601">
        <f t="shared" si="1"/>
        <v>21</v>
      </c>
      <c r="C29" s="604" t="s">
        <v>53</v>
      </c>
      <c r="D29" s="605">
        <v>1126</v>
      </c>
      <c r="E29" s="666">
        <f>UTAMA!F38</f>
        <v>3.3109999999999999</v>
      </c>
      <c r="F29" s="607">
        <f>+UTAMA!G38</f>
        <v>204.56</v>
      </c>
      <c r="G29" s="608">
        <f>+UTAMA!I38</f>
        <v>204.54</v>
      </c>
      <c r="H29" s="609">
        <f>+UTAMA!H38</f>
        <v>3.052</v>
      </c>
      <c r="I29" s="609">
        <f>+UTAMA!J38</f>
        <v>3.04</v>
      </c>
      <c r="J29" s="832">
        <f t="shared" si="0"/>
        <v>99.606815203145487</v>
      </c>
    </row>
    <row r="30" spans="2:13" ht="15.75" x14ac:dyDescent="0.2">
      <c r="B30" s="601">
        <f t="shared" si="1"/>
        <v>22</v>
      </c>
      <c r="C30" s="604" t="s">
        <v>54</v>
      </c>
      <c r="D30" s="605">
        <v>1531</v>
      </c>
      <c r="E30" s="666">
        <f>UTAMA!F39</f>
        <v>0.64100000000000001</v>
      </c>
      <c r="F30" s="607">
        <f>+UTAMA!G39</f>
        <v>325.3</v>
      </c>
      <c r="G30" s="611">
        <f>+UTAMA!I39</f>
        <v>325.5</v>
      </c>
      <c r="H30" s="609">
        <f>+UTAMA!H39</f>
        <v>0.622</v>
      </c>
      <c r="I30" s="612">
        <f>+UTAMA!J39</f>
        <v>0.64100000000000001</v>
      </c>
      <c r="J30" s="610">
        <f t="shared" si="0"/>
        <v>103.05466237942123</v>
      </c>
    </row>
    <row r="31" spans="2:13" ht="15.75" x14ac:dyDescent="0.2">
      <c r="B31" s="601">
        <f t="shared" si="1"/>
        <v>23</v>
      </c>
      <c r="C31" s="604" t="s">
        <v>55</v>
      </c>
      <c r="D31" s="605">
        <v>358</v>
      </c>
      <c r="E31" s="666">
        <f>UTAMA!F40</f>
        <v>0.71</v>
      </c>
      <c r="F31" s="607">
        <f>+UTAMA!G40</f>
        <v>129</v>
      </c>
      <c r="G31" s="611">
        <f>+UTAMA!I40</f>
        <v>129.19999999999999</v>
      </c>
      <c r="H31" s="609">
        <f>+UTAMA!H40</f>
        <v>0.68300000000000005</v>
      </c>
      <c r="I31" s="612">
        <f>+UTAMA!J40</f>
        <v>0.71</v>
      </c>
      <c r="J31" s="610">
        <f t="shared" si="0"/>
        <v>103.95314787701318</v>
      </c>
    </row>
    <row r="32" spans="2:13" ht="15.75" x14ac:dyDescent="0.2">
      <c r="B32" s="601">
        <f t="shared" si="1"/>
        <v>24</v>
      </c>
      <c r="C32" s="604" t="s">
        <v>56</v>
      </c>
      <c r="D32" s="605">
        <v>2488</v>
      </c>
      <c r="E32" s="666">
        <f>UTAMA!F41</f>
        <v>0.48</v>
      </c>
      <c r="F32" s="607">
        <f>+UTAMA!G41</f>
        <v>282.7</v>
      </c>
      <c r="G32" s="608">
        <f>+UTAMA!I41</f>
        <v>282.98</v>
      </c>
      <c r="H32" s="609">
        <f>+UTAMA!H41</f>
        <v>0.45800000000000002</v>
      </c>
      <c r="I32" s="612">
        <f>+UTAMA!J41</f>
        <v>0.48099999999999998</v>
      </c>
      <c r="J32" s="610">
        <f t="shared" si="0"/>
        <v>105.02183406113537</v>
      </c>
    </row>
    <row r="33" spans="2:13" ht="15.75" x14ac:dyDescent="0.2">
      <c r="B33" s="601">
        <f t="shared" si="1"/>
        <v>25</v>
      </c>
      <c r="C33" s="604" t="s">
        <v>57</v>
      </c>
      <c r="D33" s="605">
        <v>426</v>
      </c>
      <c r="E33" s="666">
        <f>UTAMA!F42</f>
        <v>2.8849999999999998</v>
      </c>
      <c r="F33" s="607">
        <f>+UTAMA!G42</f>
        <v>98.5</v>
      </c>
      <c r="G33" s="611">
        <f>+UTAMA!I42</f>
        <v>99.04</v>
      </c>
      <c r="H33" s="609">
        <f>+UTAMA!H42</f>
        <v>2.5219999999999998</v>
      </c>
      <c r="I33" s="612">
        <f>+UTAMA!J42</f>
        <v>2.919</v>
      </c>
      <c r="J33" s="610">
        <f t="shared" si="0"/>
        <v>115.74147501982554</v>
      </c>
    </row>
    <row r="34" spans="2:13" ht="15.75" x14ac:dyDescent="0.2">
      <c r="B34" s="601">
        <f t="shared" si="1"/>
        <v>26</v>
      </c>
      <c r="C34" s="604" t="s">
        <v>58</v>
      </c>
      <c r="D34" s="605">
        <v>295</v>
      </c>
      <c r="E34" s="666">
        <f>UTAMA!F43</f>
        <v>7.9000000000000001E-2</v>
      </c>
      <c r="F34" s="607">
        <f>+UTAMA!G43</f>
        <v>189.5</v>
      </c>
      <c r="G34" s="611">
        <f>+UTAMA!I43</f>
        <v>188.91</v>
      </c>
      <c r="H34" s="609">
        <f>+UTAMA!H43</f>
        <v>7.5999999999999998E-2</v>
      </c>
      <c r="I34" s="612">
        <f>+UTAMA!J43</f>
        <v>5.6000000000000001E-2</v>
      </c>
      <c r="J34" s="610">
        <f t="shared" si="0"/>
        <v>73.684210526315795</v>
      </c>
    </row>
    <row r="35" spans="2:13" ht="15.75" x14ac:dyDescent="0.2">
      <c r="B35" s="601">
        <f t="shared" si="1"/>
        <v>27</v>
      </c>
      <c r="C35" s="604" t="s">
        <v>59</v>
      </c>
      <c r="D35" s="605">
        <v>708</v>
      </c>
      <c r="E35" s="666">
        <f>UTAMA!F44</f>
        <v>9.6000000000000002E-2</v>
      </c>
      <c r="F35" s="607">
        <f>+UTAMA!G44</f>
        <v>170.85</v>
      </c>
      <c r="G35" s="611">
        <f>+UTAMA!I44</f>
        <v>170.89</v>
      </c>
      <c r="H35" s="609">
        <f>+UTAMA!H44</f>
        <v>8.8999999999999996E-2</v>
      </c>
      <c r="I35" s="612">
        <f>+UTAMA!J44</f>
        <v>0.09</v>
      </c>
      <c r="J35" s="610">
        <f t="shared" si="0"/>
        <v>101.12359550561798</v>
      </c>
    </row>
    <row r="36" spans="2:13" ht="15.75" x14ac:dyDescent="0.2">
      <c r="B36" s="601">
        <f t="shared" si="1"/>
        <v>28</v>
      </c>
      <c r="C36" s="604" t="s">
        <v>60</v>
      </c>
      <c r="D36" s="605">
        <v>1567</v>
      </c>
      <c r="E36" s="666">
        <f>UTAMA!F45</f>
        <v>9.8740000000000006</v>
      </c>
      <c r="F36" s="607">
        <f>+UTAMA!G45</f>
        <v>139.63</v>
      </c>
      <c r="G36" s="608">
        <f>+UTAMA!I45</f>
        <v>140.57</v>
      </c>
      <c r="H36" s="609">
        <f>+UTAMA!H45</f>
        <v>7.2649999999999997</v>
      </c>
      <c r="I36" s="609">
        <f>+UTAMA!J45</f>
        <v>9.9640000000000004</v>
      </c>
      <c r="J36" s="610">
        <f t="shared" si="0"/>
        <v>137.15072264280798</v>
      </c>
    </row>
    <row r="37" spans="2:13" ht="15.75" x14ac:dyDescent="0.2">
      <c r="B37" s="601">
        <f t="shared" si="1"/>
        <v>29</v>
      </c>
      <c r="C37" s="604" t="s">
        <v>61</v>
      </c>
      <c r="D37" s="605">
        <v>1353</v>
      </c>
      <c r="E37" s="666">
        <f>UTAMA!F46</f>
        <v>2.6720000000000002</v>
      </c>
      <c r="F37" s="607">
        <f>+UTAMA!G46</f>
        <v>238.71</v>
      </c>
      <c r="G37" s="608">
        <f>+UTAMA!I46</f>
        <v>239.31</v>
      </c>
      <c r="H37" s="609">
        <f>+UTAMA!H46</f>
        <v>2.2490000000000001</v>
      </c>
      <c r="I37" s="609">
        <f>+UTAMA!J46</f>
        <v>2.6110000000000002</v>
      </c>
      <c r="J37" s="610">
        <f t="shared" si="0"/>
        <v>116.09604268563807</v>
      </c>
    </row>
    <row r="38" spans="2:13" ht="15.75" x14ac:dyDescent="0.2">
      <c r="B38" s="601">
        <f t="shared" si="1"/>
        <v>30</v>
      </c>
      <c r="C38" s="604" t="s">
        <v>62</v>
      </c>
      <c r="D38" s="605">
        <v>53</v>
      </c>
      <c r="E38" s="666">
        <f>UTAMA!F47</f>
        <v>4.1539999999999999</v>
      </c>
      <c r="F38" s="607">
        <f>+UTAMA!G47</f>
        <v>118.7</v>
      </c>
      <c r="G38" s="608">
        <f>+UTAMA!I47</f>
        <v>118.79</v>
      </c>
      <c r="H38" s="609">
        <f>+UTAMA!H47</f>
        <v>2.78</v>
      </c>
      <c r="I38" s="609">
        <f>+UTAMA!J47</f>
        <v>2.93</v>
      </c>
      <c r="J38" s="610">
        <f t="shared" si="0"/>
        <v>105.39568345323742</v>
      </c>
    </row>
    <row r="39" spans="2:13" ht="15.75" x14ac:dyDescent="0.2">
      <c r="B39" s="601">
        <f t="shared" si="1"/>
        <v>31</v>
      </c>
      <c r="C39" s="604" t="s">
        <v>63</v>
      </c>
      <c r="D39" s="605">
        <v>51</v>
      </c>
      <c r="E39" s="666">
        <f>UTAMA!F48</f>
        <v>2.75</v>
      </c>
      <c r="F39" s="607">
        <f>+UTAMA!G48</f>
        <v>110.24</v>
      </c>
      <c r="G39" s="608">
        <f>+UTAMA!I48</f>
        <v>110.67</v>
      </c>
      <c r="H39" s="609">
        <f>+UTAMA!H48</f>
        <v>2.1429999999999998</v>
      </c>
      <c r="I39" s="609">
        <f>+UTAMA!J48</f>
        <v>2.8330000000000002</v>
      </c>
      <c r="J39" s="610">
        <f t="shared" si="0"/>
        <v>132.19785347643494</v>
      </c>
    </row>
    <row r="40" spans="2:13" ht="15.75" x14ac:dyDescent="0.2">
      <c r="B40" s="601">
        <f t="shared" si="1"/>
        <v>32</v>
      </c>
      <c r="C40" s="604" t="s">
        <v>212</v>
      </c>
      <c r="D40" s="605">
        <v>0</v>
      </c>
      <c r="E40" s="606">
        <f>UTAMA!F53</f>
        <v>0.47399999999999998</v>
      </c>
      <c r="F40" s="607">
        <f>+UTAMA!G53</f>
        <v>34.74</v>
      </c>
      <c r="G40" s="608">
        <f>+UTAMA!I53</f>
        <v>38.67</v>
      </c>
      <c r="H40" s="609">
        <f>+UTAMA!H53</f>
        <v>0.255</v>
      </c>
      <c r="I40" s="609">
        <f>UTAMA!J53</f>
        <v>0.436</v>
      </c>
      <c r="J40" s="610">
        <f t="shared" si="0"/>
        <v>170.98039215686273</v>
      </c>
    </row>
    <row r="41" spans="2:13" ht="15.75" x14ac:dyDescent="0.2">
      <c r="B41" s="601">
        <f t="shared" si="1"/>
        <v>33</v>
      </c>
      <c r="C41" s="604" t="s">
        <v>213</v>
      </c>
      <c r="D41" s="605">
        <v>0</v>
      </c>
      <c r="E41" s="606">
        <f>UTAMA!F54</f>
        <v>0.81699999999999995</v>
      </c>
      <c r="F41" s="607">
        <f>+UTAMA!G54</f>
        <v>70.099999999999994</v>
      </c>
      <c r="G41" s="608">
        <f>+UTAMA!I54</f>
        <v>70.099999999999994</v>
      </c>
      <c r="H41" s="609">
        <f>+UTAMA!H54</f>
        <v>0.76400000000000001</v>
      </c>
      <c r="I41" s="609">
        <f>UTAMA!J54</f>
        <v>0.76400000000000001</v>
      </c>
      <c r="J41" s="610">
        <f t="shared" si="0"/>
        <v>100</v>
      </c>
    </row>
    <row r="42" spans="2:13" ht="16.5" thickBot="1" x14ac:dyDescent="0.25">
      <c r="B42" s="613"/>
      <c r="C42" s="614" t="s">
        <v>89</v>
      </c>
      <c r="D42" s="615">
        <f>SUM(D9:D41)</f>
        <v>63083</v>
      </c>
      <c r="E42" s="616">
        <f>SUM(E9:E41)</f>
        <v>85.044999999999973</v>
      </c>
      <c r="F42" s="617"/>
      <c r="G42" s="617"/>
      <c r="H42" s="618">
        <f>SUM(H9:H41)</f>
        <v>61.675000000000004</v>
      </c>
      <c r="I42" s="619">
        <f>SUM(I9:I41)</f>
        <v>62.838999999999999</v>
      </c>
      <c r="J42" s="620">
        <f>+I42/H42*100%*100</f>
        <v>101.88731252533441</v>
      </c>
    </row>
    <row r="43" spans="2:13" ht="16.5" thickBot="1" x14ac:dyDescent="0.25">
      <c r="B43" s="621" t="s">
        <v>68</v>
      </c>
      <c r="C43" s="622" t="s">
        <v>69</v>
      </c>
      <c r="D43" s="622"/>
      <c r="E43" s="623"/>
      <c r="F43" s="624"/>
      <c r="G43" s="624"/>
      <c r="H43" s="625" t="s">
        <v>95</v>
      </c>
      <c r="I43" s="626">
        <f>+I42/H42*100%</f>
        <v>1.0188731252533441</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16</v>
      </c>
    </row>
    <row r="47" spans="2:13" ht="15" x14ac:dyDescent="0.2">
      <c r="B47" s="628"/>
      <c r="C47" s="630" t="s">
        <v>100</v>
      </c>
      <c r="D47" s="630"/>
      <c r="E47" s="631" t="s">
        <v>98</v>
      </c>
      <c r="F47" s="630" t="s">
        <v>101</v>
      </c>
      <c r="G47" s="630"/>
      <c r="H47" s="630"/>
      <c r="I47" s="632" t="s">
        <v>176</v>
      </c>
      <c r="J47" s="633">
        <f>COUNTIFS(J9:J41,"&gt;=85",J9:J41,"&lt;=100")</f>
        <v>7</v>
      </c>
    </row>
    <row r="48" spans="2:13" ht="15" x14ac:dyDescent="0.2">
      <c r="B48" s="628"/>
      <c r="C48" s="630" t="s">
        <v>102</v>
      </c>
      <c r="D48" s="630"/>
      <c r="E48" s="631" t="s">
        <v>98</v>
      </c>
      <c r="F48" s="630" t="s">
        <v>103</v>
      </c>
      <c r="G48" s="630"/>
      <c r="H48" s="630"/>
      <c r="I48" s="632" t="s">
        <v>176</v>
      </c>
      <c r="J48" s="254">
        <f>COUNTIFS(J9:J41,"&gt;0",J9:J41,"&lt;=85")</f>
        <v>10</v>
      </c>
    </row>
    <row r="49" spans="2:10" ht="15.75" thickBot="1" x14ac:dyDescent="0.25">
      <c r="B49" s="628"/>
      <c r="C49" s="634">
        <v>0</v>
      </c>
      <c r="D49" s="634"/>
      <c r="E49" s="631" t="s">
        <v>98</v>
      </c>
      <c r="F49" s="630" t="s">
        <v>127</v>
      </c>
      <c r="G49" s="630"/>
      <c r="H49" s="630"/>
      <c r="I49" s="632" t="s">
        <v>176</v>
      </c>
      <c r="J49" s="635">
        <v>0</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8" priority="5" stopIfTrue="1" operator="equal">
      <formula>0</formula>
    </cfRule>
    <cfRule type="cellIs" dxfId="7" priority="6" stopIfTrue="1" operator="lessThan">
      <formula>84</formula>
    </cfRule>
    <cfRule type="cellIs" dxfId="6" priority="7" stopIfTrue="1" operator="between">
      <formula>85</formula>
      <formula>100</formula>
    </cfRule>
    <cfRule type="cellIs" dxfId="5" priority="10" stopIfTrue="1" operator="equal">
      <formula>0</formula>
    </cfRule>
    <cfRule type="cellIs" dxfId="4" priority="12" stopIfTrue="1" operator="greaterThan">
      <formula>100</formula>
    </cfRule>
    <cfRule type="cellIs" dxfId="3" priority="13" stopIfTrue="1" operator="between">
      <formula>85</formula>
      <formula>100</formula>
    </cfRule>
  </conditionalFormatting>
  <conditionalFormatting sqref="J30:J41">
    <cfRule type="cellIs" dxfId="2" priority="14" stopIfTrue="1" operator="greaterThan">
      <formula>100</formula>
    </cfRule>
    <cfRule type="cellIs" dxfId="1"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65" t="s">
        <v>287</v>
      </c>
      <c r="C2" s="865"/>
      <c r="D2" s="865"/>
      <c r="E2" s="865"/>
      <c r="F2" s="865"/>
      <c r="G2" s="865"/>
      <c r="H2" s="865"/>
      <c r="I2" s="865"/>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286</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65" t="s">
        <v>285</v>
      </c>
      <c r="C2" s="865"/>
      <c r="D2" s="865"/>
      <c r="E2" s="865"/>
      <c r="F2" s="865"/>
      <c r="G2" s="865"/>
      <c r="H2" s="865"/>
      <c r="I2" s="865"/>
      <c r="J2" s="865"/>
      <c r="K2" s="865"/>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39" t="s">
        <v>281</v>
      </c>
      <c r="C3" s="939"/>
      <c r="D3" s="939"/>
      <c r="E3" s="939"/>
      <c r="F3" s="939"/>
      <c r="G3" s="939"/>
      <c r="H3" s="939"/>
      <c r="I3" s="939"/>
      <c r="J3" s="939"/>
      <c r="K3" s="939"/>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903" t="s">
        <v>16</v>
      </c>
      <c r="B3" s="903"/>
      <c r="C3" s="903"/>
      <c r="D3" s="903"/>
      <c r="E3" s="903"/>
      <c r="F3" s="903"/>
      <c r="G3" s="903"/>
      <c r="H3" s="903"/>
      <c r="I3" s="903"/>
    </row>
    <row r="4" spans="1:14" ht="21" x14ac:dyDescent="0.2">
      <c r="A4" s="903" t="s">
        <v>17</v>
      </c>
      <c r="B4" s="903"/>
      <c r="C4" s="903"/>
      <c r="D4" s="903"/>
      <c r="E4" s="903"/>
      <c r="F4" s="903"/>
      <c r="G4" s="903"/>
      <c r="H4" s="903"/>
      <c r="I4" s="903"/>
    </row>
    <row r="5" spans="1:14" ht="21" x14ac:dyDescent="0.35">
      <c r="A5" s="940" t="str">
        <f>+UTAMA!B4</f>
        <v xml:space="preserve">MINGGU KE I APRIL ( 2 APRIL S/D 8 APRIL 2024 ) dalam Juta m3 </v>
      </c>
      <c r="B5" s="940"/>
      <c r="C5" s="940"/>
      <c r="D5" s="940"/>
      <c r="E5" s="940"/>
      <c r="F5" s="940"/>
      <c r="G5" s="940"/>
      <c r="H5" s="940"/>
      <c r="I5" s="940"/>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339.12</v>
      </c>
      <c r="H11" s="90">
        <f>+UTAMA!J12</f>
        <v>7.4550000000000001</v>
      </c>
      <c r="I11" s="91">
        <v>35162</v>
      </c>
      <c r="K11" s="125"/>
      <c r="L11" s="125"/>
      <c r="M11" s="125"/>
      <c r="N11" s="92"/>
    </row>
    <row r="12" spans="1:14" ht="15.75" x14ac:dyDescent="0.25">
      <c r="A12" s="126">
        <f>+A11+1</f>
        <v>2</v>
      </c>
      <c r="B12" s="127" t="s">
        <v>29</v>
      </c>
      <c r="C12" s="93">
        <f>+UTAMA!E13</f>
        <v>77.5</v>
      </c>
      <c r="D12" s="94">
        <f>+UTAMA!F13</f>
        <v>45.13</v>
      </c>
      <c r="E12" s="95">
        <f>+UTAMA!G13</f>
        <v>73.86</v>
      </c>
      <c r="F12" s="94">
        <f>+UTAMA!H13</f>
        <v>28.387</v>
      </c>
      <c r="G12" s="93">
        <f>+UTAMA!I13</f>
        <v>77.400000000000006</v>
      </c>
      <c r="H12" s="94">
        <f>+UTAMA!J13</f>
        <v>48.369</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v>
      </c>
      <c r="F13" s="94">
        <f>+UTAMA!H11</f>
        <v>26.765999999999998</v>
      </c>
      <c r="G13" s="93">
        <f>+UTAMA!I11</f>
        <v>55.34</v>
      </c>
      <c r="H13" s="94">
        <f>+UTAMA!J11</f>
        <v>28.684999999999999</v>
      </c>
      <c r="I13" s="96">
        <v>17481</v>
      </c>
      <c r="K13" s="125"/>
      <c r="L13" s="125"/>
      <c r="M13" s="125"/>
      <c r="N13" s="92"/>
    </row>
    <row r="14" spans="1:14" ht="15.75" x14ac:dyDescent="0.25">
      <c r="A14" s="126">
        <f t="shared" si="0"/>
        <v>4</v>
      </c>
      <c r="B14" s="127" t="s">
        <v>31</v>
      </c>
      <c r="C14" s="93">
        <f>+UTAMA!E14</f>
        <v>463.3</v>
      </c>
      <c r="D14" s="94">
        <f>+UTAMA!F14</f>
        <v>49.9</v>
      </c>
      <c r="E14" s="97">
        <f>+UTAMA!H14</f>
        <v>45.993000000000002</v>
      </c>
      <c r="F14" s="94">
        <f>+UTAMA!H14</f>
        <v>45.993000000000002</v>
      </c>
      <c r="G14" s="93">
        <f>+UTAMA!I14</f>
        <v>462.88</v>
      </c>
      <c r="H14" s="94">
        <f>+UTAMA!J14</f>
        <v>45.558</v>
      </c>
      <c r="I14" s="96">
        <v>19972</v>
      </c>
      <c r="K14" s="125"/>
      <c r="L14" s="125"/>
      <c r="M14" s="125"/>
      <c r="N14" s="92"/>
    </row>
    <row r="15" spans="1:14" ht="15.75" x14ac:dyDescent="0.25">
      <c r="A15" s="126">
        <f t="shared" si="0"/>
        <v>5</v>
      </c>
      <c r="B15" s="127" t="s">
        <v>32</v>
      </c>
      <c r="C15" s="93">
        <f>+UTAMA!E15</f>
        <v>207</v>
      </c>
      <c r="D15" s="94">
        <f>+UTAMA!F15</f>
        <v>9.5030000000000001</v>
      </c>
      <c r="E15" s="97">
        <f>+UTAMA!H15</f>
        <v>8.7219999999999995</v>
      </c>
      <c r="F15" s="94">
        <f>+UTAMA!H15</f>
        <v>8.7219999999999995</v>
      </c>
      <c r="G15" s="93">
        <f>+UTAMA!I15</f>
        <v>206.27</v>
      </c>
      <c r="H15" s="94">
        <f>+UTAMA!J15</f>
        <v>8.6329999999999991</v>
      </c>
      <c r="I15" s="96">
        <v>4959</v>
      </c>
      <c r="K15" s="125"/>
      <c r="L15" s="125"/>
      <c r="M15" s="125"/>
      <c r="N15" s="92"/>
    </row>
    <row r="16" spans="1:14" ht="15.75" x14ac:dyDescent="0.25">
      <c r="A16" s="126">
        <f t="shared" si="0"/>
        <v>6</v>
      </c>
      <c r="B16" s="127" t="s">
        <v>33</v>
      </c>
      <c r="C16" s="93">
        <f>+UTAMA!E16</f>
        <v>320</v>
      </c>
      <c r="D16" s="94">
        <f>+UTAMA!F16</f>
        <v>5.1509999999999998</v>
      </c>
      <c r="E16" s="97">
        <f>+UTAMA!H16</f>
        <v>4.6500000000000004</v>
      </c>
      <c r="F16" s="94">
        <f>+UTAMA!H16</f>
        <v>4.6500000000000004</v>
      </c>
      <c r="G16" s="93">
        <f>+UTAMA!I16</f>
        <v>318.74</v>
      </c>
      <c r="H16" s="94">
        <f>+UTAMA!J16</f>
        <v>4.5250000000000004</v>
      </c>
      <c r="I16" s="96">
        <v>6052</v>
      </c>
      <c r="K16" s="125"/>
      <c r="L16" s="125"/>
      <c r="M16" s="125"/>
      <c r="N16" s="92"/>
    </row>
    <row r="17" spans="1:14" ht="15.75" x14ac:dyDescent="0.25">
      <c r="A17" s="126">
        <f t="shared" si="0"/>
        <v>7</v>
      </c>
      <c r="B17" s="127" t="s">
        <v>34</v>
      </c>
      <c r="C17" s="93">
        <f>+UTAMA!E17</f>
        <v>90</v>
      </c>
      <c r="D17" s="94">
        <f>+UTAMA!F17</f>
        <v>689.09100000000001</v>
      </c>
      <c r="E17" s="97">
        <f>+UTAMA!G17</f>
        <v>87.83</v>
      </c>
      <c r="F17" s="94">
        <f>+UTAMA!H17</f>
        <v>582.31799999999998</v>
      </c>
      <c r="G17" s="93">
        <f>+UTAMA!I17</f>
        <v>86.48</v>
      </c>
      <c r="H17" s="94">
        <f>+UTAMA!J17</f>
        <v>522.17200000000003</v>
      </c>
      <c r="I17" s="96">
        <v>59645</v>
      </c>
      <c r="K17" s="125"/>
      <c r="L17" s="125"/>
      <c r="M17" s="125"/>
      <c r="N17" s="92"/>
    </row>
    <row r="18" spans="1:14" ht="15.75" x14ac:dyDescent="0.25">
      <c r="A18" s="126">
        <f t="shared" si="0"/>
        <v>8</v>
      </c>
      <c r="B18" s="127" t="s">
        <v>35</v>
      </c>
      <c r="C18" s="93">
        <f>+UTAMA!E19</f>
        <v>120.5</v>
      </c>
      <c r="D18" s="94">
        <f>+UTAMA!F19</f>
        <v>2.0920000000000001</v>
      </c>
      <c r="E18" s="97">
        <f>+UTAMA!G19</f>
        <v>119.21</v>
      </c>
      <c r="F18" s="94">
        <f>+UTAMA!H19</f>
        <v>1.532</v>
      </c>
      <c r="G18" s="93">
        <f>+UTAMA!I19</f>
        <v>116.11</v>
      </c>
      <c r="H18" s="94">
        <f>+UTAMA!J19</f>
        <v>0.35299999999999998</v>
      </c>
      <c r="I18" s="98">
        <v>923</v>
      </c>
      <c r="K18" s="125"/>
      <c r="L18" s="125"/>
      <c r="M18" s="128"/>
      <c r="N18" s="92"/>
    </row>
    <row r="19" spans="1:14" ht="15.75" x14ac:dyDescent="0.25">
      <c r="A19" s="126">
        <f t="shared" si="0"/>
        <v>9</v>
      </c>
      <c r="B19" s="127" t="s">
        <v>36</v>
      </c>
      <c r="C19" s="93">
        <f>+UTAMA!E20</f>
        <v>120.8</v>
      </c>
      <c r="D19" s="94">
        <f>+UTAMA!F20</f>
        <v>2.3530000000000002</v>
      </c>
      <c r="E19" s="97">
        <f>+UTAMA!G20</f>
        <v>119</v>
      </c>
      <c r="F19" s="94">
        <f>+UTAMA!H20</f>
        <v>1.4730000000000001</v>
      </c>
      <c r="G19" s="93">
        <f>+UTAMA!I20</f>
        <v>118.59</v>
      </c>
      <c r="H19" s="94">
        <f>+UTAMA!J20</f>
        <v>0.88100000000000001</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2.355</v>
      </c>
      <c r="G20" s="93">
        <f>+UTAMA!I21</f>
        <v>44.5</v>
      </c>
      <c r="H20" s="94">
        <f>+UTAMA!J21</f>
        <v>4.5270000000000001</v>
      </c>
      <c r="I20" s="100">
        <v>440</v>
      </c>
      <c r="K20" s="125"/>
      <c r="L20" s="125"/>
      <c r="M20" s="128"/>
      <c r="N20" s="92"/>
    </row>
    <row r="21" spans="1:14" ht="15.75" x14ac:dyDescent="0.25">
      <c r="A21" s="126">
        <f t="shared" si="0"/>
        <v>11</v>
      </c>
      <c r="B21" s="127" t="s">
        <v>39</v>
      </c>
      <c r="C21" s="93">
        <f>+UTAMA!E22</f>
        <v>51.5</v>
      </c>
      <c r="D21" s="94">
        <f>+UTAMA!F22</f>
        <v>2.4159999999999999</v>
      </c>
      <c r="E21" s="97">
        <f>+UTAMA!G22</f>
        <v>47.84</v>
      </c>
      <c r="F21" s="94">
        <f>+UTAMA!H22</f>
        <v>1.8160000000000001</v>
      </c>
      <c r="G21" s="93">
        <f>+UTAMA!I22</f>
        <v>51.13</v>
      </c>
      <c r="H21" s="94">
        <f>+UTAMA!J22</f>
        <v>2.3889999999999998</v>
      </c>
      <c r="I21" s="100">
        <v>775</v>
      </c>
      <c r="K21" s="125"/>
      <c r="L21" s="125"/>
      <c r="M21" s="128"/>
      <c r="N21" s="92"/>
    </row>
    <row r="22" spans="1:14" ht="15.75" x14ac:dyDescent="0.25">
      <c r="A22" s="126">
        <f t="shared" si="0"/>
        <v>12</v>
      </c>
      <c r="B22" s="127" t="s">
        <v>40</v>
      </c>
      <c r="C22" s="93">
        <f>+UTAMA!E23</f>
        <v>81</v>
      </c>
      <c r="D22" s="94">
        <f>+UTAMA!F23</f>
        <v>1.093</v>
      </c>
      <c r="E22" s="97">
        <f>+UTAMA!G23</f>
        <v>78.31</v>
      </c>
      <c r="F22" s="94">
        <f>+UTAMA!H23</f>
        <v>0.65800000000000003</v>
      </c>
      <c r="G22" s="93">
        <f>+UTAMA!I23</f>
        <v>77.790000000000006</v>
      </c>
      <c r="H22" s="94">
        <f>+UTAMA!J23</f>
        <v>0.88300000000000001</v>
      </c>
      <c r="I22" s="96">
        <v>750</v>
      </c>
      <c r="K22" s="125"/>
      <c r="L22" s="125"/>
      <c r="M22" s="128"/>
      <c r="N22" s="92"/>
    </row>
    <row r="23" spans="1:14" ht="15.75" x14ac:dyDescent="0.25">
      <c r="A23" s="126">
        <f t="shared" si="0"/>
        <v>13</v>
      </c>
      <c r="B23" s="127" t="s">
        <v>41</v>
      </c>
      <c r="C23" s="93">
        <f>+UTAMA!E24</f>
        <v>82.8</v>
      </c>
      <c r="D23" s="94">
        <f>+UTAMA!F24</f>
        <v>0.42899999999999999</v>
      </c>
      <c r="E23" s="99">
        <f>+UTAMA!G24</f>
        <v>81.08</v>
      </c>
      <c r="F23" s="94">
        <f>+UTAMA!H24</f>
        <v>0.28399999999999997</v>
      </c>
      <c r="G23" s="93">
        <f>+UTAMA!I24</f>
        <v>81.55</v>
      </c>
      <c r="H23" s="94">
        <f>+UTAMA!J24</f>
        <v>5.8000000000000003E-2</v>
      </c>
      <c r="I23" s="96">
        <v>482</v>
      </c>
      <c r="K23" s="125"/>
      <c r="L23" s="125"/>
      <c r="M23" s="125"/>
      <c r="N23" s="92"/>
    </row>
    <row r="24" spans="1:14" ht="15.75" x14ac:dyDescent="0.25">
      <c r="A24" s="126">
        <f t="shared" si="0"/>
        <v>14</v>
      </c>
      <c r="B24" s="127" t="s">
        <v>42</v>
      </c>
      <c r="C24" s="93">
        <f>+UTAMA!E25</f>
        <v>69.95</v>
      </c>
      <c r="D24" s="94">
        <f>+UTAMA!F25</f>
        <v>0.25</v>
      </c>
      <c r="E24" s="99">
        <f>+UTAMA!G25</f>
        <v>69.05</v>
      </c>
      <c r="F24" s="94">
        <f>+UTAMA!H25</f>
        <v>0.13200000000000001</v>
      </c>
      <c r="G24" s="93">
        <f>+UTAMA!I25</f>
        <v>63.59</v>
      </c>
      <c r="H24" s="94">
        <f>+UTAMA!J25</f>
        <v>0.20300000000000001</v>
      </c>
      <c r="I24" s="96">
        <v>366</v>
      </c>
      <c r="K24" s="125"/>
      <c r="L24" s="125"/>
      <c r="M24" s="125"/>
      <c r="N24" s="101"/>
    </row>
    <row r="25" spans="1:14" ht="15.75" x14ac:dyDescent="0.25">
      <c r="A25" s="126">
        <f t="shared" si="0"/>
        <v>15</v>
      </c>
      <c r="B25" s="127" t="s">
        <v>43</v>
      </c>
      <c r="C25" s="93">
        <f>+UTAMA!E26</f>
        <v>48.2</v>
      </c>
      <c r="D25" s="94">
        <f>+UTAMA!F26</f>
        <v>0.38500000000000001</v>
      </c>
      <c r="E25" s="97">
        <f>+UTAMA!G26</f>
        <v>44.98</v>
      </c>
      <c r="F25" s="94">
        <f>+UTAMA!H26</f>
        <v>9.8000000000000004E-2</v>
      </c>
      <c r="G25" s="93">
        <f>+UTAMA!I26</f>
        <v>46.69</v>
      </c>
      <c r="H25" s="94">
        <f>+UTAMA!J26</f>
        <v>0.34899999999999998</v>
      </c>
      <c r="I25" s="100">
        <v>260</v>
      </c>
      <c r="K25" s="125"/>
      <c r="L25" s="125"/>
      <c r="M25" s="125"/>
      <c r="N25" s="92"/>
    </row>
    <row r="26" spans="1:14" ht="15.75" x14ac:dyDescent="0.25">
      <c r="A26" s="126">
        <f t="shared" si="0"/>
        <v>16</v>
      </c>
      <c r="B26" s="127" t="s">
        <v>44</v>
      </c>
      <c r="C26" s="93">
        <f>+UTAMA!E27</f>
        <v>136</v>
      </c>
      <c r="D26" s="94">
        <f>+UTAMA!F27</f>
        <v>398.69</v>
      </c>
      <c r="E26" s="97">
        <f>+UTAMA!G27</f>
        <v>135.91999999999999</v>
      </c>
      <c r="F26" s="94">
        <f>+UTAMA!H27</f>
        <v>361.34500000000003</v>
      </c>
      <c r="G26" s="93">
        <f>+UTAMA!I27</f>
        <v>134.69999999999999</v>
      </c>
      <c r="H26" s="94">
        <f>+UTAMA!J27</f>
        <v>294.89999999999998</v>
      </c>
      <c r="I26" s="96">
        <v>28109</v>
      </c>
      <c r="K26" s="125"/>
      <c r="L26" s="125"/>
      <c r="M26" s="125"/>
      <c r="N26" s="102"/>
    </row>
    <row r="27" spans="1:14" ht="15.75" x14ac:dyDescent="0.25">
      <c r="A27" s="126">
        <f t="shared" si="0"/>
        <v>17</v>
      </c>
      <c r="B27" s="127" t="s">
        <v>45</v>
      </c>
      <c r="C27" s="93">
        <f>+UTAMA!E29</f>
        <v>113.5</v>
      </c>
      <c r="D27" s="94">
        <f>+UTAMA!F29</f>
        <v>2.3410000000000002</v>
      </c>
      <c r="E27" s="97">
        <f>+UTAMA!G29</f>
        <v>113.3</v>
      </c>
      <c r="F27" s="94">
        <f>+UTAMA!H29</f>
        <v>2.2490000000000001</v>
      </c>
      <c r="G27" s="93">
        <f>+UTAMA!I29</f>
        <v>112.96</v>
      </c>
      <c r="H27" s="94">
        <f>+UTAMA!J29</f>
        <v>2.0950000000000002</v>
      </c>
      <c r="I27" s="96">
        <v>874</v>
      </c>
      <c r="K27" s="125"/>
      <c r="L27" s="125"/>
      <c r="M27" s="125"/>
      <c r="N27" s="102"/>
    </row>
    <row r="28" spans="1:14" ht="15.75" x14ac:dyDescent="0.25">
      <c r="A28" s="126">
        <f t="shared" si="0"/>
        <v>18</v>
      </c>
      <c r="B28" s="127" t="s">
        <v>46</v>
      </c>
      <c r="C28" s="93">
        <f>+UTAMA!E30</f>
        <v>225.4</v>
      </c>
      <c r="D28" s="94">
        <f>+UTAMA!F30</f>
        <v>0.32300000000000001</v>
      </c>
      <c r="E28" s="97">
        <f>+UTAMA!G30</f>
        <v>203.63</v>
      </c>
      <c r="F28" s="94">
        <f>+UTAMA!H30</f>
        <v>0.28599999999999998</v>
      </c>
      <c r="G28" s="93">
        <f>+UTAMA!I30</f>
        <v>199.95</v>
      </c>
      <c r="H28" s="94">
        <f>+UTAMA!J30</f>
        <v>2.7E-2</v>
      </c>
      <c r="I28" s="100">
        <v>392</v>
      </c>
      <c r="K28" s="125"/>
      <c r="L28" s="125"/>
      <c r="M28" s="125"/>
      <c r="N28" s="92"/>
    </row>
    <row r="29" spans="1:14" ht="15.75" x14ac:dyDescent="0.25">
      <c r="A29" s="126">
        <f t="shared" si="0"/>
        <v>19</v>
      </c>
      <c r="B29" s="127" t="s">
        <v>47</v>
      </c>
      <c r="C29" s="93">
        <f>+UTAMA!E31</f>
        <v>224</v>
      </c>
      <c r="D29" s="94">
        <f>+UTAMA!F31</f>
        <v>0.42899999999999999</v>
      </c>
      <c r="E29" s="97">
        <f>+UTAMA!G31</f>
        <v>223.78</v>
      </c>
      <c r="F29" s="94">
        <f>+UTAMA!H31</f>
        <v>0.40799999999999997</v>
      </c>
      <c r="G29" s="93">
        <f>+UTAMA!I31</f>
        <v>220.83</v>
      </c>
      <c r="H29" s="94">
        <f>+UTAMA!J31</f>
        <v>0.19700000000000001</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194.7</v>
      </c>
      <c r="H30" s="94">
        <f>+UTAMA!J32</f>
        <v>0.53100000000000003</v>
      </c>
      <c r="I30" s="100">
        <v>700</v>
      </c>
      <c r="K30" s="125"/>
      <c r="L30" s="125"/>
      <c r="M30" s="125"/>
      <c r="N30" s="92"/>
    </row>
    <row r="31" spans="1:14" ht="15.75" x14ac:dyDescent="0.25">
      <c r="A31" s="126">
        <f t="shared" si="0"/>
        <v>21</v>
      </c>
      <c r="B31" s="127" t="s">
        <v>49</v>
      </c>
      <c r="C31" s="93">
        <f>+UTAMA!E33</f>
        <v>174</v>
      </c>
      <c r="D31" s="94">
        <f>+UTAMA!F33</f>
        <v>0.22600000000000001</v>
      </c>
      <c r="E31" s="99">
        <f>+UTAMA!G33</f>
        <v>165.47</v>
      </c>
      <c r="F31" s="94">
        <f>+UTAMA!H33</f>
        <v>0.28799999999999998</v>
      </c>
      <c r="G31" s="93">
        <f>+UTAMA!I33</f>
        <v>164.69</v>
      </c>
      <c r="H31" s="94">
        <f>+UTAMA!J33</f>
        <v>0.2</v>
      </c>
      <c r="I31" s="100">
        <v>87</v>
      </c>
      <c r="K31" s="125"/>
      <c r="L31" s="125"/>
      <c r="M31" s="125"/>
      <c r="N31" s="102"/>
    </row>
    <row r="32" spans="1:14" ht="15.75" x14ac:dyDescent="0.25">
      <c r="A32" s="126">
        <f t="shared" si="0"/>
        <v>22</v>
      </c>
      <c r="B32" s="127" t="s">
        <v>50</v>
      </c>
      <c r="C32" s="93">
        <f>+UTAMA!E34</f>
        <v>229.1</v>
      </c>
      <c r="D32" s="94">
        <f>+UTAMA!F34</f>
        <v>0.71399999999999997</v>
      </c>
      <c r="E32" s="97">
        <f>+UTAMA!G34</f>
        <v>228.07</v>
      </c>
      <c r="F32" s="94">
        <f>+UTAMA!H34</f>
        <v>0.628</v>
      </c>
      <c r="G32" s="93">
        <f>+UTAMA!I34</f>
        <v>222.41</v>
      </c>
      <c r="H32" s="94">
        <f>+UTAMA!J34</f>
        <v>0.183</v>
      </c>
      <c r="I32" s="98">
        <v>354</v>
      </c>
      <c r="K32" s="125"/>
      <c r="L32" s="125"/>
      <c r="M32" s="125"/>
      <c r="N32" s="92"/>
    </row>
    <row r="33" spans="1:14" ht="15.75" x14ac:dyDescent="0.25">
      <c r="A33" s="126">
        <f t="shared" si="0"/>
        <v>23</v>
      </c>
      <c r="B33" s="127" t="s">
        <v>51</v>
      </c>
      <c r="C33" s="93">
        <f>+UTAMA!E35</f>
        <v>249</v>
      </c>
      <c r="D33" s="94">
        <f>+UTAMA!F35</f>
        <v>1.708</v>
      </c>
      <c r="E33" s="97">
        <f>+UTAMA!G35</f>
        <v>248.7</v>
      </c>
      <c r="F33" s="94">
        <f>+UTAMA!H35</f>
        <v>1.708</v>
      </c>
      <c r="G33" s="93">
        <f>+UTAMA!I35</f>
        <v>245.4</v>
      </c>
      <c r="H33" s="94">
        <f>+UTAMA!J35</f>
        <v>0.85599999999999998</v>
      </c>
      <c r="I33" s="100">
        <v>637</v>
      </c>
      <c r="K33" s="125"/>
      <c r="L33" s="125"/>
      <c r="M33" s="125"/>
      <c r="N33" s="92"/>
    </row>
    <row r="34" spans="1:14" ht="15.75" x14ac:dyDescent="0.25">
      <c r="A34" s="126">
        <f t="shared" si="0"/>
        <v>24</v>
      </c>
      <c r="B34" s="127" t="s">
        <v>52</v>
      </c>
      <c r="C34" s="93">
        <f>+UTAMA!E37</f>
        <v>164.75</v>
      </c>
      <c r="D34" s="94">
        <f>+UTAMA!F37</f>
        <v>4.3979999999999997</v>
      </c>
      <c r="E34" s="97">
        <f>+UTAMA!G37</f>
        <v>148.74</v>
      </c>
      <c r="F34" s="94">
        <f>+UTAMA!H37</f>
        <v>2.4540000000000002</v>
      </c>
      <c r="G34" s="93">
        <f>+UTAMA!I37</f>
        <v>143.79</v>
      </c>
      <c r="H34" s="94">
        <f>+UTAMA!J37</f>
        <v>0.378</v>
      </c>
      <c r="I34" s="100">
        <v>7394</v>
      </c>
      <c r="K34" s="125"/>
      <c r="L34" s="125"/>
      <c r="M34" s="125"/>
      <c r="N34" s="102"/>
    </row>
    <row r="35" spans="1:14" ht="15.75" x14ac:dyDescent="0.25">
      <c r="A35" s="126">
        <f t="shared" si="0"/>
        <v>25</v>
      </c>
      <c r="B35" s="127" t="s">
        <v>53</v>
      </c>
      <c r="C35" s="93">
        <f>+UTAMA!E38</f>
        <v>179.1</v>
      </c>
      <c r="D35" s="94">
        <f>+UTAMA!F38</f>
        <v>3.3109999999999999</v>
      </c>
      <c r="E35" s="103">
        <f>+UTAMA!G38</f>
        <v>204.56</v>
      </c>
      <c r="F35" s="94">
        <f>+UTAMA!H38</f>
        <v>3.052</v>
      </c>
      <c r="G35" s="93">
        <f>+UTAMA!I38</f>
        <v>204.54</v>
      </c>
      <c r="H35" s="94">
        <f>+UTAMA!J38</f>
        <v>3.04</v>
      </c>
      <c r="I35" s="100">
        <v>2410</v>
      </c>
      <c r="K35" s="125"/>
      <c r="L35" s="125"/>
      <c r="M35" s="125"/>
      <c r="N35" s="102"/>
    </row>
    <row r="36" spans="1:14" ht="15.75" x14ac:dyDescent="0.25">
      <c r="A36" s="126">
        <f t="shared" si="0"/>
        <v>26</v>
      </c>
      <c r="B36" s="127" t="s">
        <v>54</v>
      </c>
      <c r="C36" s="93">
        <f>+UTAMA!E39</f>
        <v>325.56</v>
      </c>
      <c r="D36" s="94">
        <f>+UTAMA!F39</f>
        <v>0.64100000000000001</v>
      </c>
      <c r="E36" s="103">
        <f>+UTAMA!G39</f>
        <v>325.3</v>
      </c>
      <c r="F36" s="94">
        <f>+UTAMA!H39</f>
        <v>0.622</v>
      </c>
      <c r="G36" s="93">
        <f>+UTAMA!I39</f>
        <v>325.5</v>
      </c>
      <c r="H36" s="94">
        <f>+UTAMA!J39</f>
        <v>0.64100000000000001</v>
      </c>
      <c r="I36" s="100">
        <v>1370</v>
      </c>
      <c r="K36" s="125"/>
      <c r="L36" s="125"/>
      <c r="M36" s="125"/>
      <c r="N36" s="102"/>
    </row>
    <row r="37" spans="1:14" ht="15.75" x14ac:dyDescent="0.25">
      <c r="A37" s="126">
        <f t="shared" si="0"/>
        <v>27</v>
      </c>
      <c r="B37" s="127" t="s">
        <v>55</v>
      </c>
      <c r="C37" s="93">
        <f>+UTAMA!E40</f>
        <v>129.19999999999999</v>
      </c>
      <c r="D37" s="94">
        <f>+UTAMA!F40</f>
        <v>0.71</v>
      </c>
      <c r="E37" s="103">
        <f>+UTAMA!G40</f>
        <v>129</v>
      </c>
      <c r="F37" s="94">
        <f>+UTAMA!H40</f>
        <v>0.68300000000000005</v>
      </c>
      <c r="G37" s="93">
        <f>+UTAMA!I40</f>
        <v>129.19999999999999</v>
      </c>
      <c r="H37" s="94">
        <f>+UTAMA!J40</f>
        <v>0.71</v>
      </c>
      <c r="I37" s="100">
        <v>358</v>
      </c>
      <c r="K37" s="125"/>
      <c r="L37" s="125"/>
      <c r="M37" s="125"/>
      <c r="N37" s="102"/>
    </row>
    <row r="38" spans="1:14" ht="15.75" x14ac:dyDescent="0.25">
      <c r="A38" s="126">
        <f t="shared" si="0"/>
        <v>28</v>
      </c>
      <c r="B38" s="127" t="s">
        <v>56</v>
      </c>
      <c r="C38" s="93">
        <f>+UTAMA!E41</f>
        <v>282.77999999999997</v>
      </c>
      <c r="D38" s="94">
        <f>+UTAMA!F41</f>
        <v>0.48</v>
      </c>
      <c r="E38" s="103">
        <f>+UTAMA!G41</f>
        <v>282.7</v>
      </c>
      <c r="F38" s="94">
        <f>+UTAMA!H41</f>
        <v>0.45800000000000002</v>
      </c>
      <c r="G38" s="93">
        <f>+UTAMA!I41</f>
        <v>282.98</v>
      </c>
      <c r="H38" s="94">
        <f>+UTAMA!J41</f>
        <v>0.48099999999999998</v>
      </c>
      <c r="I38" s="100">
        <v>268</v>
      </c>
      <c r="K38" s="125"/>
      <c r="L38" s="125"/>
      <c r="M38" s="125"/>
      <c r="N38" s="101"/>
    </row>
    <row r="39" spans="1:14" ht="15.75" x14ac:dyDescent="0.25">
      <c r="A39" s="126">
        <f t="shared" si="0"/>
        <v>29</v>
      </c>
      <c r="B39" s="127" t="s">
        <v>57</v>
      </c>
      <c r="C39" s="93">
        <f>+UTAMA!E42</f>
        <v>99</v>
      </c>
      <c r="D39" s="94">
        <f>+UTAMA!F42</f>
        <v>2.8849999999999998</v>
      </c>
      <c r="E39" s="103">
        <f>+UTAMA!G42</f>
        <v>98.5</v>
      </c>
      <c r="F39" s="94">
        <f>+UTAMA!H42</f>
        <v>2.5219999999999998</v>
      </c>
      <c r="G39" s="93">
        <f>+UTAMA!I42</f>
        <v>99.04</v>
      </c>
      <c r="H39" s="94">
        <f>+UTAMA!J42</f>
        <v>2.919</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188.91</v>
      </c>
      <c r="H40" s="94">
        <f>+UTAMA!J43</f>
        <v>5.6000000000000001E-2</v>
      </c>
      <c r="I40" s="100">
        <v>274</v>
      </c>
      <c r="K40" s="125"/>
      <c r="L40" s="125"/>
      <c r="M40" s="125"/>
      <c r="N40" s="102"/>
    </row>
    <row r="41" spans="1:14" ht="15.75" x14ac:dyDescent="0.25">
      <c r="A41" s="126">
        <f t="shared" si="0"/>
        <v>31</v>
      </c>
      <c r="B41" s="127" t="s">
        <v>59</v>
      </c>
      <c r="C41" s="93">
        <f>+UTAMA!E44</f>
        <v>171.19</v>
      </c>
      <c r="D41" s="94">
        <f>+UTAMA!F44</f>
        <v>9.6000000000000002E-2</v>
      </c>
      <c r="E41" s="103">
        <f>+UTAMA!G44</f>
        <v>170.85</v>
      </c>
      <c r="F41" s="94">
        <f>+UTAMA!H44</f>
        <v>8.8999999999999996E-2</v>
      </c>
      <c r="G41" s="93">
        <f>+UTAMA!I44</f>
        <v>170.89</v>
      </c>
      <c r="H41" s="94">
        <f>+UTAMA!J44</f>
        <v>0.09</v>
      </c>
      <c r="I41" s="100">
        <v>395</v>
      </c>
      <c r="K41" s="125"/>
      <c r="L41" s="125"/>
      <c r="M41" s="125"/>
      <c r="N41" s="102"/>
    </row>
    <row r="42" spans="1:14" ht="15.75" x14ac:dyDescent="0.25">
      <c r="A42" s="126">
        <f t="shared" si="0"/>
        <v>32</v>
      </c>
      <c r="B42" s="127" t="s">
        <v>60</v>
      </c>
      <c r="C42" s="93">
        <f>+UTAMA!E45</f>
        <v>142.6</v>
      </c>
      <c r="D42" s="94">
        <f>+UTAMA!F45</f>
        <v>9.8740000000000006</v>
      </c>
      <c r="E42" s="103">
        <f>+UTAMA!G45</f>
        <v>139.63</v>
      </c>
      <c r="F42" s="94">
        <f>+UTAMA!H45</f>
        <v>7.2649999999999997</v>
      </c>
      <c r="G42" s="93">
        <f>+UTAMA!I45</f>
        <v>140.57</v>
      </c>
      <c r="H42" s="94">
        <f>+UTAMA!J45</f>
        <v>9.9640000000000004</v>
      </c>
      <c r="I42" s="96">
        <v>1570</v>
      </c>
      <c r="K42" s="125"/>
      <c r="L42" s="125"/>
      <c r="M42" s="125"/>
      <c r="N42" s="102"/>
    </row>
    <row r="43" spans="1:14" ht="15.75" x14ac:dyDescent="0.25">
      <c r="A43" s="126">
        <f t="shared" si="0"/>
        <v>33</v>
      </c>
      <c r="B43" s="127" t="s">
        <v>61</v>
      </c>
      <c r="C43" s="93">
        <f>+UTAMA!E46</f>
        <v>239.5</v>
      </c>
      <c r="D43" s="94">
        <f>+UTAMA!F46</f>
        <v>2.6720000000000002</v>
      </c>
      <c r="E43" s="103">
        <f>+UTAMA!G46</f>
        <v>238.71</v>
      </c>
      <c r="F43" s="94">
        <f>+UTAMA!H46</f>
        <v>2.2490000000000001</v>
      </c>
      <c r="G43" s="93">
        <f>+UTAMA!I46</f>
        <v>239.31</v>
      </c>
      <c r="H43" s="94">
        <f>+UTAMA!J46</f>
        <v>2.6110000000000002</v>
      </c>
      <c r="I43" s="96">
        <v>1353</v>
      </c>
      <c r="K43" s="125"/>
      <c r="L43" s="125"/>
      <c r="M43" s="125"/>
      <c r="N43" s="102"/>
    </row>
    <row r="44" spans="1:14" ht="15.75" x14ac:dyDescent="0.25">
      <c r="A44" s="126">
        <f t="shared" si="0"/>
        <v>34</v>
      </c>
      <c r="B44" s="127" t="s">
        <v>62</v>
      </c>
      <c r="C44" s="93">
        <f>+UTAMA!E47</f>
        <v>120.5</v>
      </c>
      <c r="D44" s="94">
        <f>+UTAMA!F47</f>
        <v>4.1539999999999999</v>
      </c>
      <c r="E44" s="103">
        <f>+UTAMA!G47</f>
        <v>118.7</v>
      </c>
      <c r="F44" s="94">
        <f>+UTAMA!H47</f>
        <v>2.78</v>
      </c>
      <c r="G44" s="93">
        <f>+UTAMA!I47</f>
        <v>118.79</v>
      </c>
      <c r="H44" s="94">
        <f>+UTAMA!J47</f>
        <v>2.93</v>
      </c>
      <c r="I44" s="100">
        <v>782</v>
      </c>
      <c r="K44" s="125"/>
      <c r="L44" s="125"/>
      <c r="M44" s="125"/>
      <c r="N44" s="102"/>
    </row>
    <row r="45" spans="1:14" ht="15.75" x14ac:dyDescent="0.25">
      <c r="A45" s="126">
        <f t="shared" si="0"/>
        <v>35</v>
      </c>
      <c r="B45" s="127" t="s">
        <v>63</v>
      </c>
      <c r="C45" s="93">
        <f>+UTAMA!E48</f>
        <v>110.56</v>
      </c>
      <c r="D45" s="94">
        <f>+UTAMA!F48</f>
        <v>2.75</v>
      </c>
      <c r="E45" s="103">
        <f>+UTAMA!G48</f>
        <v>110.24</v>
      </c>
      <c r="F45" s="94">
        <f>+UTAMA!H48</f>
        <v>2.1429999999999998</v>
      </c>
      <c r="G45" s="93">
        <f>+UTAMA!I48</f>
        <v>110.67</v>
      </c>
      <c r="H45" s="94">
        <f>+UTAMA!J48</f>
        <v>2.8330000000000002</v>
      </c>
      <c r="I45" s="100">
        <v>43</v>
      </c>
      <c r="K45" s="125"/>
      <c r="L45" s="125"/>
      <c r="M45" s="125"/>
      <c r="N45" s="102"/>
    </row>
    <row r="46" spans="1:14" ht="15.75" x14ac:dyDescent="0.25">
      <c r="A46" s="126">
        <f t="shared" si="0"/>
        <v>36</v>
      </c>
      <c r="B46" s="127" t="s">
        <v>64</v>
      </c>
      <c r="C46" s="93">
        <f>+UTAMA!E49</f>
        <v>72</v>
      </c>
      <c r="D46" s="94">
        <f>+UTAMA!F49</f>
        <v>38.036000000000001</v>
      </c>
      <c r="E46" s="103">
        <f>+UTAMA!G49</f>
        <v>65.72</v>
      </c>
      <c r="F46" s="94">
        <f>+UTAMA!H49</f>
        <v>22.45</v>
      </c>
      <c r="G46" s="93">
        <f>+UTAMA!I49</f>
        <v>68.14</v>
      </c>
      <c r="H46" s="94">
        <f>+UTAMA!J49</f>
        <v>27.08</v>
      </c>
      <c r="I46" s="96">
        <v>6485</v>
      </c>
      <c r="K46" s="125"/>
      <c r="L46" s="125"/>
      <c r="M46" s="125"/>
      <c r="N46" s="102"/>
    </row>
    <row r="47" spans="1:14" ht="15.75" x14ac:dyDescent="0.25">
      <c r="A47" s="126">
        <f t="shared" si="0"/>
        <v>37</v>
      </c>
      <c r="B47" s="127" t="s">
        <v>65</v>
      </c>
      <c r="C47" s="93">
        <f>+UTAMA!E50</f>
        <v>185</v>
      </c>
      <c r="D47" s="94">
        <f>+UTAMA!F50</f>
        <v>388.72199999999998</v>
      </c>
      <c r="E47" s="103">
        <f>+UTAMA!G50</f>
        <v>167.5</v>
      </c>
      <c r="F47" s="94">
        <f>+UTAMA!H50</f>
        <v>221.56</v>
      </c>
      <c r="G47" s="93">
        <f>+UTAMA!I50</f>
        <v>167.82</v>
      </c>
      <c r="H47" s="94">
        <f>+UTAMA!J50</f>
        <v>224.35</v>
      </c>
      <c r="I47" s="96">
        <v>31109</v>
      </c>
      <c r="K47" s="125"/>
      <c r="L47" s="125"/>
      <c r="M47" s="125"/>
      <c r="N47" s="102"/>
    </row>
    <row r="48" spans="1:14" ht="16.5" thickBot="1" x14ac:dyDescent="0.3">
      <c r="A48" s="129">
        <f t="shared" si="0"/>
        <v>38</v>
      </c>
      <c r="B48" s="130" t="s">
        <v>66</v>
      </c>
      <c r="C48" s="93">
        <f>+UTAMA!E51</f>
        <v>231</v>
      </c>
      <c r="D48" s="94">
        <f>+UTAMA!F51</f>
        <v>23.24</v>
      </c>
      <c r="E48" s="103">
        <f>+UTAMA!G51</f>
        <v>228.79</v>
      </c>
      <c r="F48" s="94">
        <f>+UTAMA!H51</f>
        <v>4.7830000000000004</v>
      </c>
      <c r="G48" s="93">
        <f>+UTAMA!I51</f>
        <v>230.52</v>
      </c>
      <c r="H48" s="94">
        <f>+UTAMA!J51</f>
        <v>13.763</v>
      </c>
      <c r="I48" s="104">
        <v>8400</v>
      </c>
      <c r="K48" s="125"/>
      <c r="L48" s="125"/>
      <c r="M48" s="125"/>
      <c r="N48" s="92"/>
    </row>
    <row r="49" spans="1:14" ht="16.5" thickBot="1" x14ac:dyDescent="0.3">
      <c r="A49" s="131"/>
      <c r="B49" s="121" t="s">
        <v>67</v>
      </c>
      <c r="C49" s="105"/>
      <c r="D49" s="132">
        <f>SUM(D11:D48)</f>
        <v>1738.5575980000001</v>
      </c>
      <c r="E49" s="105"/>
      <c r="F49" s="132">
        <f>SUM(F11:F48)</f>
        <v>1353.636</v>
      </c>
      <c r="G49" s="105"/>
      <c r="H49" s="132">
        <f>SUM(H11:H48)</f>
        <v>1265.875</v>
      </c>
      <c r="I49" s="133">
        <f>SUM(I11:I48)</f>
        <v>270584</v>
      </c>
      <c r="K49" s="125"/>
      <c r="L49" s="125"/>
      <c r="M49" s="125"/>
      <c r="N49" s="92"/>
    </row>
    <row r="50" spans="1:14" ht="16.5" thickBot="1" x14ac:dyDescent="0.3">
      <c r="A50" s="134" t="s">
        <v>68</v>
      </c>
      <c r="B50" s="121" t="s">
        <v>69</v>
      </c>
      <c r="C50" s="105"/>
      <c r="D50" s="132"/>
      <c r="E50" s="135"/>
      <c r="F50" s="136">
        <v>1</v>
      </c>
      <c r="G50" s="105"/>
      <c r="H50" s="136">
        <f>+H49/F49</f>
        <v>0.93516647015889065</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zoomScale="90" zoomScaleNormal="90" zoomScaleSheetLayoutView="90" workbookViewId="0">
      <selection activeCell="M10" sqref="M10"/>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xr:uid="{00000000-0004-0000-1400-000000000000}"/>
    <hyperlink ref="E10" location="'UTAMA'!I104" display="'UTAMA'!I104" xr:uid="{00000000-0004-0000-1400-000001000000}"/>
    <hyperlink ref="E11" location="'UTAMA'!I154" display="'UTAMA'!I154" xr:uid="{00000000-0004-0000-1400-000002000000}"/>
    <hyperlink ref="E12" location="'UTAMA'!I204" display="'UTAMA'!I204" xr:uid="{00000000-0004-0000-1400-000003000000}"/>
    <hyperlink ref="E13" location="'UTAMA'!I254" display="'UTAMA'!I254" xr:uid="{00000000-0004-0000-1400-000004000000}"/>
    <hyperlink ref="E14" location="'UTAMA'!I304" display="'UTAMA'!I304" xr:uid="{00000000-0004-0000-1400-000005000000}"/>
    <hyperlink ref="E15" location="'UTAMA'!I354" display="'UTAMA'!I354" xr:uid="{00000000-0004-0000-1400-000006000000}"/>
    <hyperlink ref="E16" location="'RINCI 1'!I9:I17" display="'RINCI 1'!I9:I17" xr:uid="{00000000-0004-0000-1400-000007000000}"/>
    <hyperlink ref="E17" location="'RINCI 1'!I23:I24" display="'RINCI 1'!I23:I24" xr:uid="{00000000-0004-0000-1400-000008000000}"/>
    <hyperlink ref="E18" location="'RINCI 2'!I9:I40" display="'RINCI 2'!I9:I40" xr:uid="{00000000-0004-0000-1400-000009000000}"/>
    <hyperlink ref="E19" location="'RINCI 2'!I46:I47" display="'RINCI 2'!I46:I47" xr:uid="{00000000-0004-0000-1400-00000A000000}"/>
    <hyperlink ref="E22" location="'RINCI 1'!I9:I17" display="'RINCI 1'!I9:I17" xr:uid="{00000000-0004-0000-1400-00000B000000}"/>
    <hyperlink ref="E23" location="'RINCI 2'!I9:I40" display="'RINCI 2'!I9:I40" xr:uid="{00000000-0004-0000-1400-00000C000000}"/>
    <hyperlink ref="E26" location="'RINCI 1'!I9:I17" display="'RINCI 1'!I9:I17" xr:uid="{00000000-0004-0000-1400-00000D000000}"/>
    <hyperlink ref="E27" location="'RINCI 2'!I9:I40" display="'RINCI 2'!I9:I40" xr:uid="{00000000-0004-0000-1400-00000E000000}"/>
    <hyperlink ref="E30" location="'GRA JATENG'!B2:P53" display="'GRA JATENG'!B2:P53" xr:uid="{00000000-0004-0000-1400-00000F000000}"/>
    <hyperlink ref="E31" location="'GRAHAYU'!B2:G50" display="'GRAHAYU'!B2:G50" xr:uid="{00000000-0004-0000-1400-000010000000}"/>
    <hyperlink ref="E32" location="'GRARWNING'!B2:H47" display="'GRARWNING'!B2:H47" xr:uid="{00000000-0004-0000-1400-000011000000}"/>
    <hyperlink ref="E33" location="'GRACABAN'!B2:H50" display="'GRACABAN'!B2:H50" xr:uid="{00000000-0004-0000-1400-000012000000}"/>
    <hyperlink ref="E34" location="' '!B2:H47" display="' '!B2:H47" xr:uid="{00000000-0004-0000-1400-000013000000}"/>
    <hyperlink ref="E35" location="'GRAOMBO'!B2:P54" display="'GRAOMBO'!B2:P54" xr:uid="{00000000-0004-0000-1400-000014000000}"/>
    <hyperlink ref="E36" location="'GR GJMUNGKUR'!B2:Q52" display="'GR GJMUNGKUR'!B2:Q52" xr:uid="{00000000-0004-0000-1400-000015000000}"/>
    <hyperlink ref="E37" location="'GRAWDLTG'!B2:Q51" display="'GRAWDLTG'!B2:Q51" xr:uid="{00000000-0004-0000-1400-000016000000}"/>
    <hyperlink ref="E38" location="'GRASPOR'!B2:G53" display="'GRASPOR'!B2:G53" xr:uid="{00000000-0004-0000-1400-000017000000}"/>
    <hyperlink ref="E39" location="'GDIRMAN'!B3:K51" display="'GDIRMAN'!B3:K51" xr:uid="{00000000-0004-0000-1400-000018000000}"/>
    <hyperlink ref="E45" location="'GRAOMBO'!C16" display="'GRAOMBO'!C16" xr:uid="{00000000-0004-0000-1400-000019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41" t="s">
        <v>328</v>
      </c>
      <c r="C1" s="941"/>
      <c r="D1" s="941"/>
      <c r="E1" s="941"/>
      <c r="F1" s="941"/>
      <c r="G1" s="941"/>
      <c r="H1" s="941"/>
      <c r="I1" s="941"/>
      <c r="J1" s="941"/>
      <c r="K1" s="941"/>
      <c r="L1" s="941"/>
      <c r="M1" s="941"/>
      <c r="N1" s="941"/>
      <c r="O1" s="941"/>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7" t="s">
        <v>271</v>
      </c>
      <c r="C2" s="877"/>
      <c r="D2" s="877"/>
      <c r="E2" s="877"/>
      <c r="F2" s="877"/>
      <c r="G2" s="877"/>
      <c r="H2" s="877"/>
      <c r="I2" s="877"/>
      <c r="J2" s="877"/>
      <c r="K2" s="877"/>
      <c r="L2" s="877"/>
      <c r="N2" s="905" t="s">
        <v>279</v>
      </c>
      <c r="O2" s="906"/>
      <c r="P2" s="906"/>
      <c r="Q2" s="906"/>
      <c r="R2" s="906"/>
      <c r="S2" s="906"/>
      <c r="T2" s="906"/>
      <c r="U2" s="906"/>
      <c r="V2" s="906"/>
      <c r="W2" s="906"/>
      <c r="X2" s="906"/>
      <c r="Y2" s="906"/>
      <c r="Z2" s="907"/>
      <c r="AB2" s="862" t="s">
        <v>291</v>
      </c>
      <c r="AC2" s="862"/>
      <c r="AD2" s="862"/>
      <c r="AE2" s="862"/>
      <c r="AF2" s="862"/>
      <c r="AG2" s="862"/>
      <c r="AH2" s="862"/>
      <c r="AI2" s="862"/>
      <c r="AJ2" s="862"/>
      <c r="AK2" s="862"/>
      <c r="AL2" s="862"/>
      <c r="AM2" s="862"/>
      <c r="AN2" s="862"/>
      <c r="AO2"/>
      <c r="AP2"/>
      <c r="AQ2" s="895"/>
      <c r="AR2" s="895"/>
      <c r="AS2" s="895"/>
      <c r="AT2"/>
      <c r="AU2"/>
      <c r="AV2"/>
      <c r="AW2"/>
      <c r="AX2"/>
      <c r="AY2"/>
      <c r="AZ2"/>
      <c r="BA2"/>
      <c r="BB2"/>
      <c r="BC2"/>
      <c r="BD2"/>
      <c r="BE2"/>
    </row>
    <row r="3" spans="2:57" ht="17.25" customHeight="1" x14ac:dyDescent="0.3">
      <c r="B3" s="877"/>
      <c r="C3" s="877"/>
      <c r="D3" s="877"/>
      <c r="E3" s="877"/>
      <c r="F3" s="877"/>
      <c r="G3" s="877"/>
      <c r="H3" s="877"/>
      <c r="I3" s="877"/>
      <c r="J3" s="877"/>
      <c r="K3" s="877"/>
      <c r="L3" s="877"/>
      <c r="N3" s="902" t="s">
        <v>208</v>
      </c>
      <c r="O3" s="903"/>
      <c r="P3" s="903"/>
      <c r="Q3" s="903"/>
      <c r="R3" s="903"/>
      <c r="S3" s="903"/>
      <c r="T3" s="903"/>
      <c r="U3" s="903"/>
      <c r="V3" s="903"/>
      <c r="W3" s="903"/>
      <c r="X3" s="903"/>
      <c r="Y3" s="903"/>
      <c r="Z3" s="904"/>
      <c r="AB3" s="862" t="s">
        <v>334</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76" t="s">
        <v>342</v>
      </c>
      <c r="C4" s="876"/>
      <c r="D4" s="876"/>
      <c r="E4" s="876"/>
      <c r="F4" s="876"/>
      <c r="G4" s="876"/>
      <c r="H4" s="876"/>
      <c r="I4" s="876"/>
      <c r="J4" s="876"/>
      <c r="K4" s="876"/>
      <c r="L4" s="876"/>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8" t="s">
        <v>131</v>
      </c>
      <c r="O5" s="874" t="s">
        <v>132</v>
      </c>
      <c r="P5" s="874" t="s">
        <v>133</v>
      </c>
      <c r="Q5" s="874" t="s">
        <v>134</v>
      </c>
      <c r="R5" s="874" t="s">
        <v>135</v>
      </c>
      <c r="S5" s="874" t="s">
        <v>117</v>
      </c>
      <c r="T5" s="874" t="s">
        <v>136</v>
      </c>
      <c r="U5" s="874" t="s">
        <v>137</v>
      </c>
      <c r="V5" s="874" t="s">
        <v>138</v>
      </c>
      <c r="W5" s="874" t="s">
        <v>139</v>
      </c>
      <c r="X5" s="874" t="s">
        <v>140</v>
      </c>
      <c r="Y5" s="874" t="s">
        <v>141</v>
      </c>
      <c r="Z5" s="910" t="s">
        <v>142</v>
      </c>
      <c r="AB5" s="869" t="s">
        <v>131</v>
      </c>
      <c r="AC5" s="900" t="s">
        <v>132</v>
      </c>
      <c r="AD5" s="896" t="s">
        <v>133</v>
      </c>
      <c r="AE5" s="896" t="s">
        <v>134</v>
      </c>
      <c r="AF5" s="896" t="s">
        <v>135</v>
      </c>
      <c r="AG5" s="896" t="s">
        <v>117</v>
      </c>
      <c r="AH5" s="896" t="s">
        <v>136</v>
      </c>
      <c r="AI5" s="896" t="s">
        <v>137</v>
      </c>
      <c r="AJ5" s="896" t="s">
        <v>138</v>
      </c>
      <c r="AK5" s="896" t="s">
        <v>139</v>
      </c>
      <c r="AL5" s="896" t="s">
        <v>140</v>
      </c>
      <c r="AM5" s="896" t="s">
        <v>141</v>
      </c>
      <c r="AN5" s="898"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909"/>
      <c r="O6" s="875"/>
      <c r="P6" s="875"/>
      <c r="Q6" s="875"/>
      <c r="R6" s="875"/>
      <c r="S6" s="875"/>
      <c r="T6" s="875"/>
      <c r="U6" s="875"/>
      <c r="V6" s="875"/>
      <c r="W6" s="875"/>
      <c r="X6" s="875"/>
      <c r="Y6" s="875"/>
      <c r="Z6" s="911"/>
      <c r="AB6" s="870"/>
      <c r="AC6" s="901"/>
      <c r="AD6" s="897"/>
      <c r="AE6" s="897"/>
      <c r="AF6" s="897"/>
      <c r="AG6" s="897"/>
      <c r="AH6" s="897"/>
      <c r="AI6" s="897"/>
      <c r="AJ6" s="897"/>
      <c r="AK6" s="897"/>
      <c r="AL6" s="897"/>
      <c r="AM6" s="897"/>
      <c r="AN6" s="899"/>
      <c r="AO6" s="422"/>
      <c r="AP6"/>
      <c r="AQ6"/>
      <c r="AR6"/>
      <c r="AS6"/>
      <c r="AT6"/>
      <c r="AU6"/>
      <c r="AV6"/>
      <c r="AW6"/>
      <c r="AX6"/>
      <c r="AY6"/>
      <c r="AZ6"/>
      <c r="BA6"/>
      <c r="BB6"/>
      <c r="BC6"/>
      <c r="BD6"/>
      <c r="BE6"/>
    </row>
    <row r="7" spans="2:57" ht="27" customHeight="1" thickBot="1" x14ac:dyDescent="0.25">
      <c r="B7" s="881" t="s">
        <v>18</v>
      </c>
      <c r="C7" s="887" t="s">
        <v>270</v>
      </c>
      <c r="D7" s="884" t="s">
        <v>73</v>
      </c>
      <c r="E7" s="890" t="s">
        <v>20</v>
      </c>
      <c r="F7" s="891"/>
      <c r="G7" s="890" t="s">
        <v>94</v>
      </c>
      <c r="H7" s="891"/>
      <c r="I7" s="890" t="s">
        <v>22</v>
      </c>
      <c r="J7" s="891"/>
      <c r="K7" s="892" t="s">
        <v>189</v>
      </c>
      <c r="L7" s="878"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82"/>
      <c r="C8" s="888"/>
      <c r="D8" s="885"/>
      <c r="E8" s="637" t="s">
        <v>24</v>
      </c>
      <c r="F8" s="637" t="s">
        <v>25</v>
      </c>
      <c r="G8" s="638" t="s">
        <v>24</v>
      </c>
      <c r="H8" s="637" t="s">
        <v>25</v>
      </c>
      <c r="I8" s="638" t="s">
        <v>24</v>
      </c>
      <c r="J8" s="637" t="s">
        <v>25</v>
      </c>
      <c r="K8" s="893"/>
      <c r="L8" s="879"/>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3"/>
      <c r="C9" s="889"/>
      <c r="D9" s="886"/>
      <c r="E9" s="639" t="s">
        <v>26</v>
      </c>
      <c r="F9" s="639" t="s">
        <v>290</v>
      </c>
      <c r="G9" s="640" t="s">
        <v>26</v>
      </c>
      <c r="H9" s="639" t="s">
        <v>290</v>
      </c>
      <c r="I9" s="640" t="s">
        <v>26</v>
      </c>
      <c r="J9" s="639" t="s">
        <v>290</v>
      </c>
      <c r="K9" s="894"/>
      <c r="L9" s="880"/>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871" t="s">
        <v>330</v>
      </c>
      <c r="AC49" s="872"/>
      <c r="AD49" s="872"/>
      <c r="AE49" s="872"/>
      <c r="AF49" s="872"/>
      <c r="AG49" s="872"/>
      <c r="AH49" s="872"/>
      <c r="AI49" s="872"/>
      <c r="AJ49" s="872"/>
      <c r="AK49" s="872"/>
      <c r="AL49" s="872"/>
      <c r="AM49" s="872"/>
      <c r="AN49" s="872"/>
      <c r="AO49" s="873"/>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866"/>
      <c r="AC50" s="867"/>
      <c r="AD50" s="867"/>
      <c r="AE50" s="867"/>
      <c r="AF50" s="867"/>
      <c r="AG50" s="867"/>
      <c r="AH50" s="867"/>
      <c r="AI50" s="867"/>
      <c r="AJ50" s="867"/>
      <c r="AK50" s="867"/>
      <c r="AL50" s="867"/>
      <c r="AM50" s="867"/>
      <c r="AN50" s="867"/>
      <c r="AO50" s="868"/>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B2:L3"/>
    <mergeCell ref="N2:Z2"/>
    <mergeCell ref="AB2:AN2"/>
    <mergeCell ref="AQ2:AS2"/>
    <mergeCell ref="N3:Z3"/>
    <mergeCell ref="AB3:AN3"/>
    <mergeCell ref="B4:L4"/>
    <mergeCell ref="N5:N6"/>
    <mergeCell ref="O5:O6"/>
    <mergeCell ref="P5:P6"/>
    <mergeCell ref="Q5:Q6"/>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7:B9"/>
    <mergeCell ref="C7:C9"/>
    <mergeCell ref="D7:D9"/>
    <mergeCell ref="E7:F7"/>
    <mergeCell ref="G7:H7"/>
    <mergeCell ref="L7:L9"/>
    <mergeCell ref="AB49:AO49"/>
    <mergeCell ref="AB50:AO50"/>
    <mergeCell ref="AL5:AL6"/>
    <mergeCell ref="AM5:AM6"/>
    <mergeCell ref="AN5:AN6"/>
    <mergeCell ref="AI5:AI6"/>
    <mergeCell ref="AJ5:AJ6"/>
    <mergeCell ref="AK5:AK6"/>
    <mergeCell ref="X5:X6"/>
    <mergeCell ref="R5:R6"/>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53"/>
  <sheetViews>
    <sheetView showGridLines="0" view="pageBreakPreview" zoomScaleNormal="90" zoomScaleSheetLayoutView="100" workbookViewId="0">
      <selection activeCell="P19" sqref="P19"/>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1286.27</v>
      </c>
      <c r="N7" s="210"/>
      <c r="O7" s="652"/>
      <c r="P7" s="210">
        <v>798.81</v>
      </c>
      <c r="Q7" s="210">
        <v>1247.21</v>
      </c>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v>1334.7</v>
      </c>
      <c r="N8" s="210"/>
      <c r="O8" s="210"/>
      <c r="P8" s="211">
        <v>918.71</v>
      </c>
      <c r="Q8" s="210">
        <v>1247.92</v>
      </c>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c r="N9" s="210"/>
      <c r="P9" s="210">
        <v>957.88</v>
      </c>
      <c r="Q9" s="210">
        <v>1260.3499999999999</v>
      </c>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v>989.06</v>
      </c>
      <c r="Q10" s="210">
        <v>1286.27</v>
      </c>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x14ac:dyDescent="0.25">
      <c r="J18" s="208" t="s">
        <v>351</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4" t="s">
        <v>282</v>
      </c>
      <c r="C2" s="864"/>
      <c r="D2" s="864"/>
      <c r="E2" s="864"/>
      <c r="F2" s="864"/>
      <c r="G2" s="864"/>
      <c r="H2" s="864"/>
      <c r="I2" s="864"/>
      <c r="J2" s="864"/>
      <c r="K2" s="864"/>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629E3"/>
  </sheetPr>
  <dimension ref="B2:O47"/>
  <sheetViews>
    <sheetView workbookViewId="0">
      <selection activeCell="M7" sqref="M7"/>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65" t="s">
        <v>283</v>
      </c>
      <c r="C2" s="865"/>
      <c r="D2" s="865"/>
      <c r="E2" s="865"/>
      <c r="F2" s="865"/>
      <c r="G2" s="865"/>
      <c r="H2" s="865"/>
      <c r="I2" s="865"/>
      <c r="J2" s="865"/>
      <c r="K2" s="865"/>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65" t="s">
        <v>284</v>
      </c>
      <c r="C2" s="865"/>
      <c r="D2" s="865"/>
      <c r="E2" s="865"/>
      <c r="F2" s="865"/>
      <c r="G2" s="865"/>
      <c r="H2" s="865"/>
      <c r="I2" s="865"/>
      <c r="J2" s="865"/>
      <c r="K2" s="865"/>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65" t="s">
        <v>289</v>
      </c>
      <c r="C2" s="865"/>
      <c r="D2" s="865"/>
      <c r="E2" s="865"/>
      <c r="F2" s="865"/>
      <c r="G2" s="865"/>
      <c r="H2" s="865"/>
      <c r="I2" s="865"/>
      <c r="J2" s="865"/>
      <c r="K2" s="865"/>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E470"/>
  <sheetViews>
    <sheetView showGridLines="0" tabSelected="1" topLeftCell="P1" zoomScale="70" zoomScaleNormal="70" workbookViewId="0">
      <selection activeCell="AJ13" sqref="AJ13"/>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77" t="s">
        <v>271</v>
      </c>
      <c r="C2" s="877"/>
      <c r="D2" s="877"/>
      <c r="E2" s="877"/>
      <c r="F2" s="877"/>
      <c r="G2" s="877"/>
      <c r="H2" s="877"/>
      <c r="I2" s="877"/>
      <c r="J2" s="877"/>
      <c r="K2" s="877"/>
      <c r="L2" s="877"/>
      <c r="N2" s="905" t="s">
        <v>279</v>
      </c>
      <c r="O2" s="906"/>
      <c r="P2" s="906"/>
      <c r="Q2" s="906"/>
      <c r="R2" s="906"/>
      <c r="S2" s="906"/>
      <c r="T2" s="906"/>
      <c r="U2" s="906"/>
      <c r="V2" s="906"/>
      <c r="W2" s="906"/>
      <c r="X2" s="906"/>
      <c r="Y2" s="906"/>
      <c r="Z2" s="907"/>
      <c r="AB2" s="862" t="s">
        <v>291</v>
      </c>
      <c r="AC2" s="862"/>
      <c r="AD2" s="862"/>
      <c r="AE2" s="862"/>
      <c r="AF2" s="862"/>
      <c r="AG2" s="862"/>
      <c r="AH2" s="862"/>
      <c r="AI2" s="862"/>
      <c r="AJ2" s="862"/>
      <c r="AK2" s="862"/>
      <c r="AL2" s="862"/>
      <c r="AM2" s="862"/>
      <c r="AN2" s="862"/>
      <c r="AO2"/>
      <c r="AP2"/>
      <c r="AQ2" s="895"/>
      <c r="AR2" s="895"/>
      <c r="AS2" s="895"/>
      <c r="AT2"/>
      <c r="AU2"/>
      <c r="AV2"/>
      <c r="AW2"/>
      <c r="AX2"/>
      <c r="AY2"/>
      <c r="AZ2"/>
      <c r="BA2"/>
      <c r="BB2"/>
      <c r="BC2"/>
      <c r="BD2"/>
      <c r="BE2"/>
    </row>
    <row r="3" spans="2:57" ht="17.25" customHeight="1" x14ac:dyDescent="0.3">
      <c r="B3" s="877"/>
      <c r="C3" s="877"/>
      <c r="D3" s="877"/>
      <c r="E3" s="877"/>
      <c r="F3" s="877"/>
      <c r="G3" s="877"/>
      <c r="H3" s="877"/>
      <c r="I3" s="877"/>
      <c r="J3" s="877"/>
      <c r="K3" s="877"/>
      <c r="L3" s="877"/>
      <c r="N3" s="902" t="s">
        <v>208</v>
      </c>
      <c r="O3" s="903"/>
      <c r="P3" s="903"/>
      <c r="Q3" s="903"/>
      <c r="R3" s="903"/>
      <c r="S3" s="903"/>
      <c r="T3" s="903"/>
      <c r="U3" s="903"/>
      <c r="V3" s="903"/>
      <c r="W3" s="903"/>
      <c r="X3" s="903"/>
      <c r="Y3" s="903"/>
      <c r="Z3" s="904"/>
      <c r="AB3" s="862" t="s">
        <v>347</v>
      </c>
      <c r="AC3" s="862"/>
      <c r="AD3" s="862"/>
      <c r="AE3" s="862"/>
      <c r="AF3" s="862"/>
      <c r="AG3" s="862"/>
      <c r="AH3" s="862"/>
      <c r="AI3" s="862"/>
      <c r="AJ3" s="862"/>
      <c r="AK3" s="862"/>
      <c r="AL3" s="862"/>
      <c r="AM3" s="862"/>
      <c r="AN3" s="862"/>
      <c r="AO3"/>
      <c r="AP3"/>
      <c r="AQ3"/>
      <c r="AR3"/>
      <c r="AS3"/>
      <c r="AT3"/>
      <c r="AU3"/>
      <c r="AV3"/>
      <c r="AW3"/>
      <c r="AX3"/>
      <c r="AY3"/>
      <c r="AZ3"/>
      <c r="BA3"/>
      <c r="BB3"/>
      <c r="BC3"/>
      <c r="BD3"/>
      <c r="BE3"/>
    </row>
    <row r="4" spans="2:57" ht="22.5" customHeight="1" thickBot="1" x14ac:dyDescent="0.25">
      <c r="B4" s="876" t="s">
        <v>349</v>
      </c>
      <c r="C4" s="876"/>
      <c r="D4" s="876"/>
      <c r="E4" s="876"/>
      <c r="F4" s="876"/>
      <c r="G4" s="876"/>
      <c r="H4" s="876"/>
      <c r="I4" s="876"/>
      <c r="J4" s="876"/>
      <c r="K4" s="876"/>
      <c r="L4" s="876"/>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908" t="s">
        <v>131</v>
      </c>
      <c r="O5" s="874" t="s">
        <v>132</v>
      </c>
      <c r="P5" s="874" t="s">
        <v>133</v>
      </c>
      <c r="Q5" s="874" t="s">
        <v>134</v>
      </c>
      <c r="R5" s="874" t="s">
        <v>135</v>
      </c>
      <c r="S5" s="874" t="s">
        <v>117</v>
      </c>
      <c r="T5" s="874" t="s">
        <v>136</v>
      </c>
      <c r="U5" s="874" t="s">
        <v>137</v>
      </c>
      <c r="V5" s="874" t="s">
        <v>138</v>
      </c>
      <c r="W5" s="874" t="s">
        <v>139</v>
      </c>
      <c r="X5" s="874" t="s">
        <v>140</v>
      </c>
      <c r="Y5" s="874" t="s">
        <v>141</v>
      </c>
      <c r="Z5" s="910" t="s">
        <v>142</v>
      </c>
      <c r="AB5" s="869" t="s">
        <v>131</v>
      </c>
      <c r="AC5" s="900" t="s">
        <v>132</v>
      </c>
      <c r="AD5" s="896" t="s">
        <v>133</v>
      </c>
      <c r="AE5" s="896" t="s">
        <v>134</v>
      </c>
      <c r="AF5" s="896" t="s">
        <v>135</v>
      </c>
      <c r="AG5" s="896" t="s">
        <v>117</v>
      </c>
      <c r="AH5" s="896" t="s">
        <v>136</v>
      </c>
      <c r="AI5" s="896" t="s">
        <v>137</v>
      </c>
      <c r="AJ5" s="896" t="s">
        <v>138</v>
      </c>
      <c r="AK5" s="896" t="s">
        <v>139</v>
      </c>
      <c r="AL5" s="896" t="s">
        <v>140</v>
      </c>
      <c r="AM5" s="896" t="s">
        <v>141</v>
      </c>
      <c r="AN5" s="898" t="s">
        <v>142</v>
      </c>
      <c r="AO5" s="422"/>
      <c r="AP5"/>
      <c r="AQ5"/>
      <c r="AR5"/>
      <c r="AS5"/>
      <c r="AT5"/>
      <c r="AU5"/>
      <c r="AV5"/>
      <c r="AW5"/>
      <c r="AX5"/>
      <c r="AY5"/>
      <c r="AZ5"/>
      <c r="BA5"/>
      <c r="BB5"/>
      <c r="BC5"/>
      <c r="BD5"/>
      <c r="BE5"/>
    </row>
    <row r="6" spans="2:57" ht="27" customHeight="1" thickBot="1" x14ac:dyDescent="0.25">
      <c r="B6" s="290"/>
      <c r="C6" s="413"/>
      <c r="D6" s="413"/>
      <c r="E6" s="413"/>
      <c r="F6" s="507">
        <v>8</v>
      </c>
      <c r="G6" s="555" t="s">
        <v>258</v>
      </c>
      <c r="H6" s="507">
        <v>2024</v>
      </c>
      <c r="I6" s="413"/>
      <c r="J6" s="413"/>
      <c r="K6" s="413"/>
      <c r="L6" s="414"/>
      <c r="N6" s="909"/>
      <c r="O6" s="875"/>
      <c r="P6" s="875"/>
      <c r="Q6" s="875"/>
      <c r="R6" s="875"/>
      <c r="S6" s="875"/>
      <c r="T6" s="875"/>
      <c r="U6" s="875"/>
      <c r="V6" s="875"/>
      <c r="W6" s="875"/>
      <c r="X6" s="875"/>
      <c r="Y6" s="875"/>
      <c r="Z6" s="911"/>
      <c r="AB6" s="870"/>
      <c r="AC6" s="901"/>
      <c r="AD6" s="897"/>
      <c r="AE6" s="897"/>
      <c r="AF6" s="897"/>
      <c r="AG6" s="897"/>
      <c r="AH6" s="897"/>
      <c r="AI6" s="897"/>
      <c r="AJ6" s="897"/>
      <c r="AK6" s="897"/>
      <c r="AL6" s="897"/>
      <c r="AM6" s="897"/>
      <c r="AN6" s="899"/>
      <c r="AO6" s="422"/>
      <c r="AP6"/>
      <c r="AQ6"/>
      <c r="AR6"/>
      <c r="AS6"/>
      <c r="AT6"/>
      <c r="AU6"/>
      <c r="AV6"/>
      <c r="AW6"/>
      <c r="AX6"/>
      <c r="AY6"/>
      <c r="AZ6"/>
      <c r="BA6"/>
      <c r="BB6"/>
      <c r="BC6"/>
      <c r="BD6"/>
      <c r="BE6"/>
    </row>
    <row r="7" spans="2:57" ht="27" customHeight="1" thickBot="1" x14ac:dyDescent="0.25">
      <c r="B7" s="881" t="s">
        <v>18</v>
      </c>
      <c r="C7" s="887" t="s">
        <v>270</v>
      </c>
      <c r="D7" s="884" t="s">
        <v>73</v>
      </c>
      <c r="E7" s="890" t="s">
        <v>20</v>
      </c>
      <c r="F7" s="891"/>
      <c r="G7" s="890" t="s">
        <v>94</v>
      </c>
      <c r="H7" s="891"/>
      <c r="I7" s="890" t="s">
        <v>22</v>
      </c>
      <c r="J7" s="891"/>
      <c r="K7" s="892" t="s">
        <v>189</v>
      </c>
      <c r="L7" s="878"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82"/>
      <c r="C8" s="888"/>
      <c r="D8" s="885"/>
      <c r="E8" s="637" t="s">
        <v>24</v>
      </c>
      <c r="F8" s="637" t="s">
        <v>25</v>
      </c>
      <c r="G8" s="638" t="s">
        <v>24</v>
      </c>
      <c r="H8" s="637" t="s">
        <v>25</v>
      </c>
      <c r="I8" s="638" t="s">
        <v>24</v>
      </c>
      <c r="J8" s="637" t="s">
        <v>25</v>
      </c>
      <c r="K8" s="893"/>
      <c r="L8" s="879"/>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v>1287.47</v>
      </c>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83"/>
      <c r="C9" s="889"/>
      <c r="D9" s="886"/>
      <c r="E9" s="639" t="s">
        <v>26</v>
      </c>
      <c r="F9" s="639" t="s">
        <v>290</v>
      </c>
      <c r="G9" s="640" t="s">
        <v>26</v>
      </c>
      <c r="H9" s="639" t="s">
        <v>290</v>
      </c>
      <c r="I9" s="640" t="s">
        <v>26</v>
      </c>
      <c r="J9" s="639" t="s">
        <v>290</v>
      </c>
      <c r="K9" s="894"/>
      <c r="L9" s="880"/>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v>1292.76</v>
      </c>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v>1294.27</v>
      </c>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55</v>
      </c>
      <c r="H11" s="512">
        <v>26.765999999999998</v>
      </c>
      <c r="I11" s="512">
        <v>55.34</v>
      </c>
      <c r="J11" s="512">
        <v>28.684999999999999</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v>1313.63</v>
      </c>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339.12</v>
      </c>
      <c r="J12" s="520">
        <v>7.4550000000000001</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v>1328.9</v>
      </c>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73.86</v>
      </c>
      <c r="H13" s="520">
        <v>28.387</v>
      </c>
      <c r="I13" s="519">
        <v>77.400000000000006</v>
      </c>
      <c r="J13" s="520">
        <v>48.369</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v>1324.31</v>
      </c>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462.9</v>
      </c>
      <c r="H14" s="521">
        <v>45.993000000000002</v>
      </c>
      <c r="I14" s="511">
        <v>462.88</v>
      </c>
      <c r="J14" s="511">
        <v>45.558</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v>1334.7</v>
      </c>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206.35</v>
      </c>
      <c r="H15" s="523">
        <v>8.7219999999999995</v>
      </c>
      <c r="I15" s="661">
        <v>206.27</v>
      </c>
      <c r="J15" s="842">
        <v>8.6329999999999991</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317.60000000000002</v>
      </c>
      <c r="H16" s="524">
        <v>4.6500000000000004</v>
      </c>
      <c r="I16" s="661">
        <v>318.74</v>
      </c>
      <c r="J16" s="842">
        <v>4.5250000000000004</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87.83</v>
      </c>
      <c r="H17" s="524">
        <v>582.31799999999998</v>
      </c>
      <c r="I17" s="661">
        <v>86.48</v>
      </c>
      <c r="J17" s="842">
        <v>522.17200000000003</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88.5</v>
      </c>
      <c r="H18" s="816">
        <v>19.395</v>
      </c>
      <c r="I18" s="816">
        <v>88.6</v>
      </c>
      <c r="J18" s="843">
        <v>19.542999999999999</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119.21</v>
      </c>
      <c r="H19" s="808">
        <v>1.532</v>
      </c>
      <c r="I19" s="809">
        <v>116.11</v>
      </c>
      <c r="J19" s="844">
        <v>0.35299999999999998</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119</v>
      </c>
      <c r="H20" s="525">
        <v>1.4730000000000001</v>
      </c>
      <c r="I20" s="661">
        <v>118.59</v>
      </c>
      <c r="J20" s="842">
        <v>0.88100000000000001</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43.57</v>
      </c>
      <c r="H21" s="524">
        <v>2.355</v>
      </c>
      <c r="I21" s="661">
        <v>44.5</v>
      </c>
      <c r="J21" s="842">
        <v>4.5270000000000001</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47.84</v>
      </c>
      <c r="H22" s="524">
        <v>1.8160000000000001</v>
      </c>
      <c r="I22" s="662">
        <v>51.13</v>
      </c>
      <c r="J22" s="842">
        <v>2.3889999999999998</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78.31</v>
      </c>
      <c r="H23" s="609">
        <v>0.65800000000000003</v>
      </c>
      <c r="I23" s="661">
        <v>77.790000000000006</v>
      </c>
      <c r="J23" s="842">
        <v>0.88300000000000001</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81.08</v>
      </c>
      <c r="H24" s="524">
        <v>0.28399999999999997</v>
      </c>
      <c r="I24" s="661">
        <v>81.55</v>
      </c>
      <c r="J24" s="842">
        <v>5.8000000000000003E-2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69.05</v>
      </c>
      <c r="H25" s="524">
        <v>0.13200000000000001</v>
      </c>
      <c r="I25" s="661">
        <v>63.59</v>
      </c>
      <c r="J25" s="842">
        <v>0.20300000000000001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44.98</v>
      </c>
      <c r="H26" s="524">
        <v>9.8000000000000004E-2</v>
      </c>
      <c r="I26" s="661">
        <v>46.69</v>
      </c>
      <c r="J26" s="842">
        <v>0.34899999999999998</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135.91999999999999</v>
      </c>
      <c r="H27" s="521">
        <v>361.34500000000003</v>
      </c>
      <c r="I27" s="519">
        <v>134.69999999999999</v>
      </c>
      <c r="J27" s="845">
        <v>294.89999999999998</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184</v>
      </c>
      <c r="H28" s="521">
        <v>23.12</v>
      </c>
      <c r="I28" s="519">
        <v>185.13</v>
      </c>
      <c r="J28" s="845">
        <v>25.443999999999999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112.96</v>
      </c>
      <c r="J29" s="845">
        <v>2.0950000000000002</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203.63</v>
      </c>
      <c r="H30" s="521">
        <v>0.28599999999999998</v>
      </c>
      <c r="I30" s="519">
        <v>199.95</v>
      </c>
      <c r="J30" s="845">
        <v>2.7E-2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223.78</v>
      </c>
      <c r="H31" s="521">
        <v>0.40799999999999997</v>
      </c>
      <c r="I31" s="527">
        <v>220.83</v>
      </c>
      <c r="J31" s="846">
        <v>0.19700000000000001</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194.7</v>
      </c>
      <c r="J32" s="845">
        <v>0.53100000000000003</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165.47</v>
      </c>
      <c r="H33" s="521">
        <v>0.28799999999999998</v>
      </c>
      <c r="I33" s="527">
        <v>164.69</v>
      </c>
      <c r="J33" s="845">
        <v>0.2</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228.07</v>
      </c>
      <c r="H34" s="528">
        <v>0.628</v>
      </c>
      <c r="I34" s="529">
        <v>222.41</v>
      </c>
      <c r="J34" s="847">
        <v>0.183</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245.4</v>
      </c>
      <c r="J35" s="846">
        <v>0.85599999999999998</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515.08000000000004</v>
      </c>
      <c r="J36" s="845">
        <v>7.0940000000000003</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148.74</v>
      </c>
      <c r="H37" s="521">
        <v>2.4540000000000002</v>
      </c>
      <c r="I37" s="521">
        <v>143.79</v>
      </c>
      <c r="J37" s="846">
        <v>0.378</v>
      </c>
      <c r="K37" s="513" t="s">
        <v>187</v>
      </c>
      <c r="L37" s="781"/>
      <c r="M37" s="780">
        <f>(((J38/H38)*100)/100)*F38</f>
        <v>3.2979816513761468</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204.54</v>
      </c>
      <c r="J38" s="845">
        <v>3.04</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325.3</v>
      </c>
      <c r="H39" s="530">
        <v>0.622</v>
      </c>
      <c r="I39" s="527">
        <v>325.5</v>
      </c>
      <c r="J39" s="846">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845">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282.98</v>
      </c>
      <c r="J41" s="845">
        <v>0.48099999999999998</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99.04</v>
      </c>
      <c r="J42" s="846">
        <v>2.919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7</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188.91</v>
      </c>
      <c r="J43" s="846">
        <v>5.6000000000000001E-2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170.85</v>
      </c>
      <c r="H44" s="531">
        <v>8.8999999999999996E-2</v>
      </c>
      <c r="I44" s="527">
        <v>170.89</v>
      </c>
      <c r="J44" s="846">
        <v>0.09</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139.63</v>
      </c>
      <c r="H45" s="521">
        <v>7.2649999999999997</v>
      </c>
      <c r="I45" s="519">
        <v>140.57</v>
      </c>
      <c r="J45" s="848">
        <v>9.9640000000000004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238.71</v>
      </c>
      <c r="H46" s="531">
        <v>2.2490000000000001</v>
      </c>
      <c r="I46" s="519">
        <v>239.31</v>
      </c>
      <c r="J46" s="848">
        <v>2.6110000000000002</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118.79</v>
      </c>
      <c r="J47" s="845">
        <v>2.93</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110.24</v>
      </c>
      <c r="H48" s="521">
        <v>2.1429999999999998</v>
      </c>
      <c r="I48" s="519">
        <v>110.67</v>
      </c>
      <c r="J48" s="845">
        <v>2.8330000000000002</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65.72</v>
      </c>
      <c r="H49" s="511">
        <v>22.45</v>
      </c>
      <c r="I49" s="519">
        <v>68.14</v>
      </c>
      <c r="J49" s="849">
        <v>27.08</v>
      </c>
      <c r="K49" s="513">
        <v>13.91</v>
      </c>
      <c r="L49" s="514">
        <f t="shared" si="4"/>
        <v>0</v>
      </c>
      <c r="M49" s="782"/>
      <c r="AB49" s="871" t="s">
        <v>348</v>
      </c>
      <c r="AC49" s="872"/>
      <c r="AD49" s="872"/>
      <c r="AE49" s="872"/>
      <c r="AF49" s="872"/>
      <c r="AG49" s="872"/>
      <c r="AH49" s="872"/>
      <c r="AI49" s="872"/>
      <c r="AJ49" s="872"/>
      <c r="AK49" s="872"/>
      <c r="AL49" s="872"/>
      <c r="AM49" s="872"/>
      <c r="AN49" s="872"/>
      <c r="AO49" s="873"/>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167.5</v>
      </c>
      <c r="H50" s="520">
        <v>221.56</v>
      </c>
      <c r="I50" s="519">
        <v>167.82</v>
      </c>
      <c r="J50" s="849">
        <v>224.35</v>
      </c>
      <c r="K50" s="513">
        <v>201.44</v>
      </c>
      <c r="L50" s="514">
        <f t="shared" si="4"/>
        <v>0</v>
      </c>
      <c r="M50" s="651"/>
      <c r="N50" s="385"/>
      <c r="AB50" s="866"/>
      <c r="AC50" s="867"/>
      <c r="AD50" s="867"/>
      <c r="AE50" s="867"/>
      <c r="AF50" s="867"/>
      <c r="AG50" s="867"/>
      <c r="AH50" s="867"/>
      <c r="AI50" s="867"/>
      <c r="AJ50" s="867"/>
      <c r="AK50" s="867"/>
      <c r="AL50" s="867"/>
      <c r="AM50" s="867"/>
      <c r="AN50" s="867"/>
      <c r="AO50" s="868"/>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228.79</v>
      </c>
      <c r="H51" s="520">
        <v>4.7830000000000004</v>
      </c>
      <c r="I51" s="519">
        <v>230.52</v>
      </c>
      <c r="J51" s="849">
        <v>13.763</v>
      </c>
      <c r="K51" s="513" t="s">
        <v>188</v>
      </c>
      <c r="L51" s="514">
        <f t="shared" si="4"/>
        <v>0</v>
      </c>
      <c r="M51" s="784"/>
      <c r="AB51" s="429"/>
      <c r="AC51" s="422"/>
      <c r="AD51" s="422"/>
      <c r="AE51" s="422"/>
      <c r="AF51" s="422"/>
      <c r="AG51" s="422"/>
      <c r="AH51" s="422"/>
      <c r="AI51" s="422"/>
      <c r="AJ51" s="422"/>
      <c r="AK51" s="422"/>
      <c r="AL51" s="422"/>
      <c r="AM51" s="422"/>
      <c r="AN51" s="422"/>
      <c r="AO51" s="428"/>
      <c r="AP51">
        <f>MAX(AC7:AN36)</f>
        <v>1334.7</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148.24</v>
      </c>
      <c r="H52" s="518">
        <v>9.85</v>
      </c>
      <c r="I52" s="517">
        <v>149.46</v>
      </c>
      <c r="J52" s="850">
        <v>15.54</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38.67</v>
      </c>
      <c r="J53" s="851">
        <v>0.436</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8</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70.099999999999994</v>
      </c>
      <c r="J54" s="852">
        <v>0.76400000000000001</v>
      </c>
      <c r="K54" s="513"/>
      <c r="L54" s="514">
        <f t="shared" si="4"/>
        <v>0</v>
      </c>
      <c r="M54" s="786"/>
      <c r="AB54" s="429"/>
      <c r="AC54" s="422"/>
      <c r="AD54" s="422"/>
      <c r="AE54" s="422"/>
      <c r="AF54" s="422"/>
      <c r="AG54" s="422"/>
      <c r="AH54" s="422"/>
      <c r="AI54" s="422"/>
      <c r="AJ54" s="422"/>
      <c r="AK54" s="422"/>
      <c r="AL54" s="422"/>
      <c r="AM54" s="422"/>
      <c r="AN54" s="422"/>
      <c r="AO54" s="428"/>
      <c r="AP54" s="273">
        <f>COUNT(AC41:AN41)</f>
        <v>3</v>
      </c>
      <c r="AQ54" t="s">
        <v>199</v>
      </c>
      <c r="AR54">
        <f t="shared" ref="AR54:BC54" si="15">AR52-AR53</f>
        <v>0</v>
      </c>
      <c r="AS54">
        <f t="shared" si="15"/>
        <v>0</v>
      </c>
      <c r="AT54">
        <f t="shared" si="15"/>
        <v>0</v>
      </c>
      <c r="AU54">
        <f t="shared" si="15"/>
        <v>7</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1414.0489999999998</v>
      </c>
      <c r="I55" s="537"/>
      <c r="J55" s="539">
        <f>SUM(J11:J54)</f>
        <v>1334.6959999999999</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0.9438824255736542</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0.78045837566791521</v>
      </c>
      <c r="H57" s="801"/>
      <c r="I57" s="802">
        <f>+J55/F55</f>
        <v>0.73666094468470611</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3</v>
      </c>
      <c r="AQ59" t="s">
        <v>198</v>
      </c>
      <c r="AR59">
        <f t="shared" ref="AR59:AY59" si="16">COUNT(AC22:AC37)</f>
        <v>16</v>
      </c>
      <c r="AS59">
        <f t="shared" si="16"/>
        <v>14</v>
      </c>
      <c r="AT59">
        <f t="shared" si="16"/>
        <v>16</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7</v>
      </c>
      <c r="G61" s="555" t="s">
        <v>258</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267</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55</v>
      </c>
      <c r="H66" s="255">
        <v>26.765999999999998</v>
      </c>
      <c r="I66" s="255">
        <v>55.37</v>
      </c>
      <c r="J66" s="255">
        <v>28.855</v>
      </c>
      <c r="K66" s="310" t="str">
        <f>IF(I66&gt;E66,"Limpas","")</f>
        <v/>
      </c>
      <c r="L66" s="732"/>
      <c r="M66" s="397"/>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339.08</v>
      </c>
      <c r="J67" s="296">
        <v>7.42</v>
      </c>
      <c r="K67" s="310"/>
      <c r="L67" s="733"/>
      <c r="M67" s="397"/>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73.86</v>
      </c>
      <c r="H68" s="296">
        <v>28.387</v>
      </c>
      <c r="I68" s="256">
        <v>77.42</v>
      </c>
      <c r="J68" s="296">
        <v>48.497999999999998</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462.9</v>
      </c>
      <c r="H69" s="327">
        <v>45.993000000000002</v>
      </c>
      <c r="I69" s="313">
        <v>462.92</v>
      </c>
      <c r="J69" s="296">
        <v>46.430999999999997</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206.35</v>
      </c>
      <c r="H70" s="257">
        <v>8.7219999999999995</v>
      </c>
      <c r="I70" s="823">
        <v>206.27</v>
      </c>
      <c r="J70" s="255">
        <v>8.6329999999999991</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317.60000000000002</v>
      </c>
      <c r="H71" s="820">
        <v>4.6500000000000004</v>
      </c>
      <c r="I71" s="821">
        <v>318.74</v>
      </c>
      <c r="J71" s="822">
        <v>4.5250000000000004</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87.83</v>
      </c>
      <c r="H72" s="256">
        <v>582.31799999999998</v>
      </c>
      <c r="I72" s="653">
        <v>86.34</v>
      </c>
      <c r="J72" s="296">
        <v>516.37300000000005</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88.5</v>
      </c>
      <c r="H73" s="602">
        <v>19.395</v>
      </c>
      <c r="I73" s="602">
        <v>88.6</v>
      </c>
      <c r="J73" s="602">
        <v>19.542999999999999</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119.21</v>
      </c>
      <c r="H75" s="296">
        <v>1.532</v>
      </c>
      <c r="I75" s="329">
        <v>116.11</v>
      </c>
      <c r="J75" s="255">
        <v>0.35299999999999998</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119</v>
      </c>
      <c r="H76" s="296">
        <v>1.4730000000000001</v>
      </c>
      <c r="I76" s="653">
        <v>118.59</v>
      </c>
      <c r="J76" s="255">
        <v>0.88100000000000001</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43.57</v>
      </c>
      <c r="H77" s="256">
        <v>2.355</v>
      </c>
      <c r="I77" s="653">
        <v>44.49</v>
      </c>
      <c r="J77" s="255">
        <v>4.5229999999999997</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47.84</v>
      </c>
      <c r="H78" s="256">
        <v>1.8160000000000001</v>
      </c>
      <c r="I78" s="657">
        <v>51.13</v>
      </c>
      <c r="J78" s="255">
        <v>2.387</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78.31</v>
      </c>
      <c r="H79" s="609">
        <v>0.65800000000000003</v>
      </c>
      <c r="I79" s="653">
        <v>77.8</v>
      </c>
      <c r="J79" s="255">
        <v>0.88500000000000001</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81.08</v>
      </c>
      <c r="H80" s="296">
        <v>0.28399999999999997</v>
      </c>
      <c r="I80" s="653">
        <v>81.569999999999993</v>
      </c>
      <c r="J80" s="255">
        <v>0.06</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69.05</v>
      </c>
      <c r="H81" s="256">
        <v>0.13200000000000001</v>
      </c>
      <c r="I81" s="660">
        <v>63.58</v>
      </c>
      <c r="J81" s="717">
        <v>0.20200000000000001</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44.98</v>
      </c>
      <c r="H82" s="296">
        <v>9.8000000000000004E-2</v>
      </c>
      <c r="I82" s="653">
        <v>46.74</v>
      </c>
      <c r="J82" s="255">
        <v>0.35699999999999998</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135.91999999999999</v>
      </c>
      <c r="H83" s="256">
        <v>361.34500000000003</v>
      </c>
      <c r="I83" s="256">
        <v>134.68</v>
      </c>
      <c r="J83" s="707">
        <v>292.88200000000001</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184</v>
      </c>
      <c r="H84" s="256">
        <v>23.12</v>
      </c>
      <c r="I84" s="256">
        <v>185.15</v>
      </c>
      <c r="J84" s="707">
        <v>25.315999999999999</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112.96</v>
      </c>
      <c r="J85" s="707">
        <v>2.09</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203.63</v>
      </c>
      <c r="H86" s="256">
        <v>0.28599999999999998</v>
      </c>
      <c r="I86" s="257">
        <v>199.96</v>
      </c>
      <c r="J86" s="707">
        <v>2.7E-2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223.78</v>
      </c>
      <c r="H87" s="256">
        <v>0.40799999999999997</v>
      </c>
      <c r="I87" s="256">
        <v>220.83</v>
      </c>
      <c r="J87" s="707">
        <v>0.19800000000000001</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194.74</v>
      </c>
      <c r="J88" s="708">
        <v>0.53900000000000003</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165.47</v>
      </c>
      <c r="H89" s="256">
        <v>0.28799999999999998</v>
      </c>
      <c r="I89" s="257">
        <v>164.68</v>
      </c>
      <c r="J89" s="707">
        <v>0.19900000000000001</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228.07</v>
      </c>
      <c r="H90" s="256">
        <v>0.628</v>
      </c>
      <c r="I90" s="257">
        <v>222.41</v>
      </c>
      <c r="J90" s="707">
        <v>0.183</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245.4</v>
      </c>
      <c r="J91" s="709">
        <v>0.85599999999999998</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515.16</v>
      </c>
      <c r="J92" s="708">
        <v>7.12</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148.74</v>
      </c>
      <c r="H93" s="256">
        <v>2.4540000000000002</v>
      </c>
      <c r="I93" s="256">
        <v>143.79</v>
      </c>
      <c r="J93" s="708">
        <v>0.378</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204.55</v>
      </c>
      <c r="J94" s="707">
        <v>3.0579999999999998</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325.3</v>
      </c>
      <c r="H95" s="257">
        <v>0.622</v>
      </c>
      <c r="I95" s="257">
        <v>325.5</v>
      </c>
      <c r="J95" s="708">
        <v>0.64100000000000001</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283.06</v>
      </c>
      <c r="J97" s="707">
        <v>0.49</v>
      </c>
      <c r="K97" s="310"/>
      <c r="L97" s="739"/>
      <c r="M97" s="404"/>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99.06</v>
      </c>
      <c r="J98" s="708">
        <v>2.9529999999999998</v>
      </c>
      <c r="K98" s="310"/>
      <c r="L98" s="739"/>
      <c r="M98" s="404"/>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188.86</v>
      </c>
      <c r="J99" s="708">
        <v>5.3999999999999999E-2</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170.85</v>
      </c>
      <c r="H100" s="296">
        <v>8.8999999999999996E-2</v>
      </c>
      <c r="I100" s="257">
        <v>170.18</v>
      </c>
      <c r="J100" s="708">
        <v>7.1999999999999995E-2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139.63</v>
      </c>
      <c r="H101" s="256">
        <v>7.2649999999999997</v>
      </c>
      <c r="I101" s="256">
        <v>140.56</v>
      </c>
      <c r="J101" s="710">
        <v>9.9339999999999993</v>
      </c>
      <c r="K101" s="310"/>
      <c r="L101" s="738"/>
      <c r="M101" s="404"/>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238.71</v>
      </c>
      <c r="H102" s="296">
        <v>2.2490000000000001</v>
      </c>
      <c r="I102" s="256">
        <v>239.2</v>
      </c>
      <c r="J102" s="710">
        <v>2.536</v>
      </c>
      <c r="K102" s="310"/>
      <c r="L102" s="738"/>
      <c r="M102" s="46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110.24</v>
      </c>
      <c r="H104" s="256">
        <v>2.1429999999999998</v>
      </c>
      <c r="I104" s="256">
        <v>110.67</v>
      </c>
      <c r="J104" s="707">
        <v>2.84</v>
      </c>
      <c r="K104" s="310"/>
      <c r="L104" s="741"/>
      <c r="M104" s="405"/>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65.8</v>
      </c>
      <c r="H105" s="296">
        <v>22.59</v>
      </c>
      <c r="I105" s="256">
        <v>67.89</v>
      </c>
      <c r="J105" s="710">
        <v>26.58</v>
      </c>
      <c r="K105" s="310"/>
      <c r="L105" s="741"/>
      <c r="M105" s="854"/>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167.72</v>
      </c>
      <c r="H106" s="296">
        <v>223.47</v>
      </c>
      <c r="I106" s="416">
        <v>167.39</v>
      </c>
      <c r="J106" s="716">
        <v>220.6</v>
      </c>
      <c r="K106" s="310"/>
      <c r="L106" s="743"/>
      <c r="M106" s="854"/>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228.78</v>
      </c>
      <c r="H107" s="296">
        <v>4.7469999999999999</v>
      </c>
      <c r="I107" s="256">
        <v>230.62</v>
      </c>
      <c r="J107" s="296">
        <v>14.436999999999999</v>
      </c>
      <c r="K107" s="310"/>
      <c r="L107" s="744"/>
      <c r="M107" s="854"/>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148.24</v>
      </c>
      <c r="H108" s="331">
        <v>9.85</v>
      </c>
      <c r="I108" s="654">
        <v>149.41999999999999</v>
      </c>
      <c r="J108" s="705">
        <v>15.51</v>
      </c>
      <c r="K108" s="391"/>
      <c r="L108" s="745"/>
      <c r="M108" s="855"/>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38.67</v>
      </c>
      <c r="J109" s="710">
        <v>0.436</v>
      </c>
      <c r="K109" s="391"/>
      <c r="M109" s="856"/>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70.099999999999994</v>
      </c>
      <c r="J110" s="710">
        <v>0.76400000000000001</v>
      </c>
      <c r="K110" s="392"/>
      <c r="L110" s="311"/>
      <c r="M110" s="857"/>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1416.0629999999999</v>
      </c>
      <c r="I111" s="317"/>
      <c r="J111" s="280">
        <f>SUM(J66:J110)</f>
        <v>1324.3099999999995</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0.93520556641900787</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0.77768757723278936</v>
      </c>
      <c r="I113" s="324"/>
      <c r="J113" s="266">
        <f>+J111/F111</f>
        <v>0.72729775116301676</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6</v>
      </c>
      <c r="G115" s="555" t="s">
        <v>258</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55</v>
      </c>
      <c r="H120" s="255">
        <v>26.765999999999998</v>
      </c>
      <c r="I120" s="255">
        <v>55.25</v>
      </c>
      <c r="J120" s="255">
        <v>28.178000000000001</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339.14</v>
      </c>
      <c r="J121" s="296">
        <v>7.47</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73.86</v>
      </c>
      <c r="H122" s="296">
        <v>28.387</v>
      </c>
      <c r="I122" s="256">
        <v>77.44</v>
      </c>
      <c r="J122" s="296">
        <v>48.628</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462.9</v>
      </c>
      <c r="H123" s="327">
        <v>45.993000000000002</v>
      </c>
      <c r="I123" s="313">
        <v>462.94</v>
      </c>
      <c r="J123" s="296">
        <v>46.872</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206.35</v>
      </c>
      <c r="H124" s="257">
        <v>8.7219999999999995</v>
      </c>
      <c r="I124" s="653">
        <v>206.27</v>
      </c>
      <c r="J124" s="707">
        <v>8.6329999999999991</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317.60000000000002</v>
      </c>
      <c r="H125" s="257">
        <v>4.6500000000000004</v>
      </c>
      <c r="I125" s="653">
        <v>318.74</v>
      </c>
      <c r="J125" s="707">
        <v>4.5250000000000004</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87.83</v>
      </c>
      <c r="H126" s="256">
        <v>582.31799999999998</v>
      </c>
      <c r="I126" s="818">
        <v>86.27</v>
      </c>
      <c r="J126" s="707">
        <v>519.49</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88.5</v>
      </c>
      <c r="H127" s="817">
        <v>19.395</v>
      </c>
      <c r="I127" s="817">
        <v>88.6</v>
      </c>
      <c r="J127" s="817">
        <v>19.542999999999999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119.21</v>
      </c>
      <c r="H129" s="296">
        <v>1.532</v>
      </c>
      <c r="I129" s="329">
        <v>116.114</v>
      </c>
      <c r="J129" s="707">
        <v>0.35299999999999998</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119</v>
      </c>
      <c r="H130" s="296">
        <v>1.4730000000000001</v>
      </c>
      <c r="I130" s="653">
        <v>118.59</v>
      </c>
      <c r="J130" s="707">
        <v>0.88100000000000001</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43.57</v>
      </c>
      <c r="H131" s="256">
        <v>2.355</v>
      </c>
      <c r="I131" s="653">
        <v>44.49</v>
      </c>
      <c r="J131" s="713">
        <v>4.5229999999999997</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47.84</v>
      </c>
      <c r="H132" s="256">
        <v>1.8160000000000001</v>
      </c>
      <c r="I132" s="657">
        <v>51.13</v>
      </c>
      <c r="J132" s="707">
        <v>2.387</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78.31</v>
      </c>
      <c r="H133" s="609">
        <v>0.65800000000000003</v>
      </c>
      <c r="I133" s="653">
        <v>77.78</v>
      </c>
      <c r="J133" s="707">
        <v>0.88100000000000001</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81.08</v>
      </c>
      <c r="H134" s="296">
        <v>0.28399999999999997</v>
      </c>
      <c r="I134" s="653">
        <v>81.59</v>
      </c>
      <c r="J134" s="707">
        <v>6.0999999999999999E-2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69.05</v>
      </c>
      <c r="H135" s="256">
        <v>0.13200000000000001</v>
      </c>
      <c r="I135" s="653">
        <v>63.58</v>
      </c>
      <c r="J135" s="707">
        <v>0.20200000000000001</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44.98</v>
      </c>
      <c r="H136" s="296">
        <v>9.8000000000000004E-2</v>
      </c>
      <c r="I136" s="653">
        <v>44.8</v>
      </c>
      <c r="J136" s="707">
        <v>0.36599999999999999</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135.91999999999999</v>
      </c>
      <c r="H137" s="256">
        <v>361.34500000000003</v>
      </c>
      <c r="I137" s="256">
        <v>134.66999999999999</v>
      </c>
      <c r="J137" s="707">
        <v>293.38600000000002</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184</v>
      </c>
      <c r="H138" s="256">
        <v>23.12</v>
      </c>
      <c r="I138" s="256">
        <v>185.08</v>
      </c>
      <c r="J138" s="707">
        <v>25.337</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112.96</v>
      </c>
      <c r="J139" s="707">
        <v>2.0950000000000002</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203.63</v>
      </c>
      <c r="H140" s="256">
        <v>0.28599999999999998</v>
      </c>
      <c r="I140" s="257">
        <v>199.96</v>
      </c>
      <c r="J140" s="707">
        <v>2.7E-2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223.78</v>
      </c>
      <c r="H141" s="256">
        <v>0.40799999999999997</v>
      </c>
      <c r="I141" s="256">
        <v>220.84</v>
      </c>
      <c r="J141" s="707">
        <v>0.19800000000000001</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194.82</v>
      </c>
      <c r="J142" s="708">
        <v>0.55300000000000005</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165.47</v>
      </c>
      <c r="H143" s="256">
        <v>0.28799999999999998</v>
      </c>
      <c r="I143" s="257">
        <v>164.68</v>
      </c>
      <c r="J143" s="707">
        <v>0.19900000000000001</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228.07</v>
      </c>
      <c r="H144" s="256">
        <v>0.628</v>
      </c>
      <c r="I144" s="257">
        <v>222.41</v>
      </c>
      <c r="J144" s="707">
        <v>0.183</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245.38</v>
      </c>
      <c r="J145" s="709">
        <v>0.85099999999999998</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515.05999999999995</v>
      </c>
      <c r="J146" s="708">
        <v>7.0869999999999997</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148.74</v>
      </c>
      <c r="H147" s="256">
        <v>2.4540000000000002</v>
      </c>
      <c r="I147" s="256">
        <v>143.79</v>
      </c>
      <c r="J147" s="708">
        <v>0.378</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204.6</v>
      </c>
      <c r="J148" s="707">
        <v>3.0760000000000001</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325.3</v>
      </c>
      <c r="H149" s="257">
        <v>0.622</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282.99</v>
      </c>
      <c r="J151" s="707">
        <v>0.48199999999999998</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99.13</v>
      </c>
      <c r="J152" s="708">
        <v>2.9950000000000001</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188.8</v>
      </c>
      <c r="J153" s="714">
        <v>5.0999999999999997E-2</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170.85</v>
      </c>
      <c r="H154" s="296">
        <v>8.8999999999999996E-2</v>
      </c>
      <c r="I154" s="257">
        <v>170.2</v>
      </c>
      <c r="J154" s="708">
        <v>7.2999999999999995E-2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139.63</v>
      </c>
      <c r="H155" s="256">
        <v>7.2649999999999997</v>
      </c>
      <c r="I155" s="256">
        <v>140.55000000000001</v>
      </c>
      <c r="J155" s="710">
        <v>9.9039999999999999</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238.71</v>
      </c>
      <c r="H156" s="296">
        <v>2.2490000000000001</v>
      </c>
      <c r="I156" s="256">
        <v>239.15</v>
      </c>
      <c r="J156" s="710">
        <v>2.5019999999999998</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118.83</v>
      </c>
      <c r="J157" s="707">
        <v>2.9969999999999999</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110.24</v>
      </c>
      <c r="H158" s="256">
        <v>2.1429999999999998</v>
      </c>
      <c r="I158" s="645">
        <v>110.69</v>
      </c>
      <c r="J158" s="715">
        <v>2.8479999999999999</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65.8</v>
      </c>
      <c r="H159" s="296">
        <v>22.59</v>
      </c>
      <c r="I159" s="256">
        <v>67.930000000000007</v>
      </c>
      <c r="J159" s="710">
        <v>26.66</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167.72</v>
      </c>
      <c r="H160" s="296">
        <v>223.47</v>
      </c>
      <c r="I160" s="416">
        <v>167.25</v>
      </c>
      <c r="J160" s="716">
        <v>219.38</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228.78</v>
      </c>
      <c r="H161" s="296">
        <v>4.7469999999999999</v>
      </c>
      <c r="I161" s="256">
        <v>230.92</v>
      </c>
      <c r="J161" s="710">
        <v>16.561</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148.24</v>
      </c>
      <c r="H162" s="331">
        <v>9.85</v>
      </c>
      <c r="I162" s="314">
        <v>149.44999999999999</v>
      </c>
      <c r="J162" s="705">
        <v>15.53</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38.67</v>
      </c>
      <c r="J163" s="710">
        <v>0.436</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1416.0629999999999</v>
      </c>
      <c r="I165" s="317"/>
      <c r="J165" s="280">
        <f>SUM(J120:J164)</f>
        <v>1328.8969999999995</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0.9384448290789319</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0.77768757723278936</v>
      </c>
      <c r="I167" s="324"/>
      <c r="J167" s="266">
        <f>+J165/F165</f>
        <v>0.7298168854930337</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1287.47</v>
      </c>
      <c r="AS168">
        <f t="shared" si="38"/>
        <v>0</v>
      </c>
      <c r="AT168"/>
      <c r="AU168"/>
      <c r="AV168"/>
      <c r="AW168"/>
      <c r="AX168"/>
      <c r="AY168"/>
      <c r="AZ168"/>
      <c r="BA168"/>
      <c r="BB168"/>
      <c r="BC168"/>
      <c r="BD168"/>
      <c r="BE168"/>
    </row>
    <row r="169" spans="2:57" ht="27" customHeight="1" thickBot="1" x14ac:dyDescent="0.25">
      <c r="B169" s="290"/>
      <c r="C169" s="259"/>
      <c r="D169" s="259"/>
      <c r="E169" s="259"/>
      <c r="F169" s="507">
        <v>5</v>
      </c>
      <c r="G169" s="555" t="s">
        <v>258</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1292.76</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1294.27</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1313.63</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1328.9</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1324.31</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55</v>
      </c>
      <c r="H174" s="255">
        <v>26.765999999999998</v>
      </c>
      <c r="I174" s="677">
        <v>55.28</v>
      </c>
      <c r="J174" s="677">
        <v>28.347000000000001</v>
      </c>
      <c r="K174" s="496">
        <v>0</v>
      </c>
      <c r="L174" s="478"/>
      <c r="M174" s="187"/>
      <c r="AB174"/>
      <c r="AC174"/>
      <c r="AD174"/>
      <c r="AE174"/>
      <c r="AF174"/>
      <c r="AG174"/>
      <c r="AH174"/>
      <c r="AI174"/>
      <c r="AJ174"/>
      <c r="AK174"/>
      <c r="AL174"/>
      <c r="AM174"/>
      <c r="AN174"/>
      <c r="AO174"/>
      <c r="AP174" s="270"/>
      <c r="AQ174" s="281">
        <f t="shared" si="39"/>
        <v>99</v>
      </c>
      <c r="AR174">
        <f t="shared" si="40"/>
        <v>1334.7</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339.13</v>
      </c>
      <c r="J175" s="697">
        <v>7.4619999999999997</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73.86</v>
      </c>
      <c r="H176" s="296">
        <v>28.387</v>
      </c>
      <c r="I176" s="327">
        <v>77.39</v>
      </c>
      <c r="J176" s="697">
        <v>49.304000000000002</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462.9</v>
      </c>
      <c r="H177" s="327">
        <v>45.993000000000002</v>
      </c>
      <c r="I177" s="313">
        <v>462.97</v>
      </c>
      <c r="J177" s="697">
        <v>47.537999999999997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206.35</v>
      </c>
      <c r="H178" s="257">
        <v>8.7219999999999995</v>
      </c>
      <c r="I178" s="671">
        <v>206.27</v>
      </c>
      <c r="J178" s="697">
        <v>8.6329999999999991</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317.60000000000002</v>
      </c>
      <c r="H179" s="257">
        <v>4.6500000000000004</v>
      </c>
      <c r="I179" s="671">
        <v>318.74</v>
      </c>
      <c r="J179" s="697">
        <v>4.5250000000000004</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87.83</v>
      </c>
      <c r="H180" s="256">
        <v>582.31799999999998</v>
      </c>
      <c r="I180" s="671">
        <v>86.08</v>
      </c>
      <c r="J180" s="697">
        <v>505.72199999999998</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88.5</v>
      </c>
      <c r="H181" s="817">
        <v>19.395</v>
      </c>
      <c r="I181" s="817">
        <v>88.6</v>
      </c>
      <c r="J181" s="817">
        <v>19.542999999999999</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119.21</v>
      </c>
      <c r="H183" s="296">
        <v>1.532</v>
      </c>
      <c r="I183" s="329">
        <v>116.11</v>
      </c>
      <c r="J183" s="697">
        <v>0.35299999999999998</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119</v>
      </c>
      <c r="H184" s="296">
        <v>1.4730000000000001</v>
      </c>
      <c r="I184" s="671">
        <v>118.59</v>
      </c>
      <c r="J184" s="697">
        <v>0.88100000000000001</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43.57</v>
      </c>
      <c r="H185" s="256">
        <v>2.355</v>
      </c>
      <c r="I185" s="671">
        <v>44.3</v>
      </c>
      <c r="J185" s="697">
        <v>4.5039999999999996</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47.84</v>
      </c>
      <c r="H186" s="256">
        <v>1.8160000000000001</v>
      </c>
      <c r="I186" s="672">
        <v>51.15</v>
      </c>
      <c r="J186" s="697">
        <v>2.403</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78.31</v>
      </c>
      <c r="H187" s="609">
        <v>0.65800000000000003</v>
      </c>
      <c r="I187" s="671">
        <v>77.75</v>
      </c>
      <c r="J187" s="697">
        <v>0.876</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81.08</v>
      </c>
      <c r="H188" s="296">
        <v>0.28399999999999997</v>
      </c>
      <c r="I188" s="671">
        <v>81.680000000000007</v>
      </c>
      <c r="J188" s="697">
        <v>6.6000000000000003E-2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69.05</v>
      </c>
      <c r="H189" s="328">
        <v>0.13200000000000001</v>
      </c>
      <c r="I189" s="671">
        <v>67.58</v>
      </c>
      <c r="J189" s="697">
        <v>0.20200000000000001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44.98</v>
      </c>
      <c r="H190" s="296">
        <v>9.8000000000000004E-2</v>
      </c>
      <c r="I190" s="671">
        <v>46.83</v>
      </c>
      <c r="J190" s="697">
        <v>0.373</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135.91999999999999</v>
      </c>
      <c r="H191" s="256">
        <v>361.34500000000003</v>
      </c>
      <c r="I191" s="327">
        <v>134.66999999999999</v>
      </c>
      <c r="J191" s="700">
        <v>293.38600000000002</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184</v>
      </c>
      <c r="H192" s="256">
        <v>23.12</v>
      </c>
      <c r="I192" s="327">
        <v>185.11</v>
      </c>
      <c r="J192" s="700">
        <v>25.401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112.97</v>
      </c>
      <c r="J193" s="700">
        <v>2.0990000000000002</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203.63</v>
      </c>
      <c r="H194" s="256">
        <v>0.28599999999999998</v>
      </c>
      <c r="I194" s="673">
        <v>199.96</v>
      </c>
      <c r="J194" s="700">
        <v>2.7E-2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223.78</v>
      </c>
      <c r="H195" s="256">
        <v>0.40799999999999997</v>
      </c>
      <c r="I195" s="327">
        <v>220.84</v>
      </c>
      <c r="J195" s="700">
        <v>0.19800000000000001</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194.83</v>
      </c>
      <c r="J196" s="701">
        <v>0.55400000000000005</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165.47</v>
      </c>
      <c r="H197" s="256">
        <v>0.28799999999999998</v>
      </c>
      <c r="I197" s="673">
        <v>164.68</v>
      </c>
      <c r="J197" s="700">
        <v>0.19900000000000001</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228.07</v>
      </c>
      <c r="H198" s="256">
        <v>0.628</v>
      </c>
      <c r="I198" s="673">
        <v>222.42</v>
      </c>
      <c r="J198" s="700">
        <v>0.183</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245.75</v>
      </c>
      <c r="J199" s="702">
        <v>0.93799999999999994</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515.04999999999995</v>
      </c>
      <c r="J200" s="701">
        <v>7.0830000000000002</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148.74</v>
      </c>
      <c r="H201" s="256">
        <v>2.4540000000000002</v>
      </c>
      <c r="I201" s="327">
        <v>143.79</v>
      </c>
      <c r="J201" s="701">
        <v>0.378</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204.62</v>
      </c>
      <c r="J202" s="700">
        <v>3.0880000000000001</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325.3</v>
      </c>
      <c r="H203" s="257">
        <v>0.622</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283.02</v>
      </c>
      <c r="J205" s="700">
        <v>0.48199999999999998</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99.18</v>
      </c>
      <c r="J206" s="701">
        <v>3.0369999999999999</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188.81</v>
      </c>
      <c r="J207" s="701">
        <v>5.1999999999999998E-2</v>
      </c>
      <c r="K207" s="496">
        <v>0</v>
      </c>
      <c r="L207" s="404"/>
      <c r="AB207"/>
      <c r="AC207"/>
      <c r="AD207"/>
      <c r="AE207"/>
      <c r="AF207"/>
      <c r="AG207"/>
      <c r="AH207"/>
      <c r="AI207"/>
      <c r="AJ207"/>
      <c r="AK207"/>
      <c r="AL207"/>
      <c r="AM207"/>
      <c r="AN207"/>
      <c r="AO207"/>
      <c r="AP207" s="270"/>
      <c r="AQ207" s="281">
        <f t="shared" ref="AQ207:AQ278" si="45">AQ206+1</f>
        <v>130</v>
      </c>
      <c r="AR207">
        <f t="shared" si="44"/>
        <v>0</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170.85</v>
      </c>
      <c r="H208" s="296">
        <v>8.8999999999999996E-2</v>
      </c>
      <c r="I208" s="673">
        <v>169.9</v>
      </c>
      <c r="J208" s="701">
        <v>6.6000000000000003E-2</v>
      </c>
      <c r="K208" s="496">
        <v>0</v>
      </c>
      <c r="L208" s="404"/>
      <c r="M208" s="187"/>
      <c r="AB208"/>
      <c r="AC208"/>
      <c r="AD208"/>
      <c r="AE208"/>
      <c r="AF208"/>
      <c r="AG208"/>
      <c r="AH208"/>
      <c r="AI208"/>
      <c r="AJ208"/>
      <c r="AK208"/>
      <c r="AL208"/>
      <c r="AM208"/>
      <c r="AN208"/>
      <c r="AO208"/>
      <c r="AP208" s="270"/>
      <c r="AQ208" s="281">
        <f t="shared" si="45"/>
        <v>131</v>
      </c>
      <c r="AR208">
        <f t="shared" si="44"/>
        <v>0</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139.63</v>
      </c>
      <c r="H209" s="256">
        <v>7.2649999999999997</v>
      </c>
      <c r="I209" s="327">
        <v>140.54</v>
      </c>
      <c r="J209" s="703">
        <v>9.8740000000000006</v>
      </c>
      <c r="K209" s="496">
        <v>0</v>
      </c>
      <c r="L209" s="478"/>
      <c r="M209" s="187"/>
      <c r="AB209"/>
      <c r="AC209"/>
      <c r="AD209"/>
      <c r="AE209"/>
      <c r="AF209"/>
      <c r="AG209"/>
      <c r="AH209"/>
      <c r="AI209"/>
      <c r="AJ209"/>
      <c r="AK209"/>
      <c r="AL209"/>
      <c r="AM209"/>
      <c r="AN209"/>
      <c r="AO209"/>
      <c r="AP209" s="270"/>
      <c r="AQ209" s="281">
        <f t="shared" si="45"/>
        <v>132</v>
      </c>
      <c r="AR209">
        <f t="shared" si="44"/>
        <v>0</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238.71</v>
      </c>
      <c r="H210" s="296">
        <v>2.2490000000000001</v>
      </c>
      <c r="I210" s="327">
        <v>239.24</v>
      </c>
      <c r="J210" s="703">
        <v>2.5630000000000002</v>
      </c>
      <c r="K210" s="496">
        <v>0</v>
      </c>
      <c r="L210" s="462"/>
      <c r="M210" s="187"/>
      <c r="AB210"/>
      <c r="AC210"/>
      <c r="AD210"/>
      <c r="AE210"/>
      <c r="AF210"/>
      <c r="AG210"/>
      <c r="AH210"/>
      <c r="AI210"/>
      <c r="AJ210"/>
      <c r="AK210"/>
      <c r="AL210"/>
      <c r="AM210"/>
      <c r="AN210"/>
      <c r="AO210"/>
      <c r="AP210" s="270"/>
      <c r="AQ210" s="281">
        <f t="shared" si="45"/>
        <v>133</v>
      </c>
      <c r="AR210">
        <f t="shared" si="44"/>
        <v>0</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118.84</v>
      </c>
      <c r="J211" s="700">
        <v>3.0139999999999998</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110.24</v>
      </c>
      <c r="H212" s="256">
        <v>2.1429999999999998</v>
      </c>
      <c r="I212" s="327">
        <v>110.69</v>
      </c>
      <c r="J212" s="700">
        <v>2.8479999999999999</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65.8</v>
      </c>
      <c r="H213" s="296">
        <v>22.59</v>
      </c>
      <c r="I213" s="327">
        <v>67.930000000000007</v>
      </c>
      <c r="J213" s="703">
        <v>26.66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167.72</v>
      </c>
      <c r="H214" s="296">
        <v>223.47</v>
      </c>
      <c r="I214" s="675">
        <v>167.26</v>
      </c>
      <c r="J214" s="712">
        <v>219.47</v>
      </c>
      <c r="K214" s="496">
        <v>0</v>
      </c>
      <c r="L214" s="311"/>
      <c r="M214" s="187"/>
      <c r="AB214"/>
      <c r="AC214"/>
      <c r="AD214"/>
      <c r="AE214"/>
      <c r="AF214"/>
      <c r="AG214"/>
      <c r="AH214"/>
      <c r="AI214"/>
      <c r="AJ214"/>
      <c r="AK214"/>
      <c r="AL214"/>
      <c r="AM214"/>
      <c r="AN214"/>
      <c r="AO214"/>
      <c r="AP214" s="270"/>
      <c r="AQ214" s="281">
        <f>AQ210+1</f>
        <v>134</v>
      </c>
      <c r="AR214">
        <f t="shared" ref="AR214:AR221" si="47">IF(AG19="tad","tad",AG19)</f>
        <v>0</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228.78</v>
      </c>
      <c r="H215" s="296">
        <v>4.7469999999999999</v>
      </c>
      <c r="I215" s="327">
        <v>230.43</v>
      </c>
      <c r="J215" s="703">
        <v>13.170999999999999</v>
      </c>
      <c r="K215" s="496">
        <v>0</v>
      </c>
      <c r="L215" s="311"/>
      <c r="M215" s="187"/>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148.24</v>
      </c>
      <c r="H216" s="331">
        <v>9.85</v>
      </c>
      <c r="I216" s="314">
        <v>149.51</v>
      </c>
      <c r="J216" s="705">
        <v>15.58</v>
      </c>
      <c r="K216" s="496">
        <v>0</v>
      </c>
      <c r="L216" s="311"/>
      <c r="M216" s="187"/>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38.67</v>
      </c>
      <c r="J217" s="703">
        <v>0.436</v>
      </c>
      <c r="K217" s="496">
        <v>0</v>
      </c>
      <c r="L217" s="311"/>
      <c r="M217" s="187"/>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1416.0629999999999</v>
      </c>
      <c r="I219" s="678"/>
      <c r="J219" s="679">
        <f>SUM(J174:J218)</f>
        <v>1313.6339999999998</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0.92766635382747797</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0.77768757723278936</v>
      </c>
      <c r="I221" s="680"/>
      <c r="J221" s="682">
        <f>+J219/F219</f>
        <v>0.72143459918846686</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x14ac:dyDescent="0.35">
      <c r="B223" s="290"/>
      <c r="C223" s="259"/>
      <c r="D223" s="259"/>
      <c r="E223" s="259"/>
      <c r="F223" s="507">
        <v>4</v>
      </c>
      <c r="G223" s="555" t="s">
        <v>258</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55</v>
      </c>
      <c r="H228" s="255">
        <v>26.765999999999998</v>
      </c>
      <c r="I228" s="654">
        <v>55.33</v>
      </c>
      <c r="J228" s="654">
        <v>28.629000000000001</v>
      </c>
      <c r="K228" s="496"/>
      <c r="L228" s="484"/>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339.03</v>
      </c>
      <c r="J229" s="697">
        <v>7.3769999999999998</v>
      </c>
      <c r="K229" s="496"/>
      <c r="L229" s="485"/>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73.86</v>
      </c>
      <c r="H230" s="296">
        <v>28.387</v>
      </c>
      <c r="I230" s="327">
        <v>77.42</v>
      </c>
      <c r="J230" s="697">
        <v>48.497999999999998</v>
      </c>
      <c r="K230" s="496"/>
      <c r="L230" s="484"/>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462.9</v>
      </c>
      <c r="H231" s="327">
        <v>45.993000000000002</v>
      </c>
      <c r="I231" s="313">
        <v>463.01</v>
      </c>
      <c r="J231" s="697">
        <v>48.661000000000001</v>
      </c>
      <c r="K231" s="496"/>
      <c r="L231" s="484"/>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206.35</v>
      </c>
      <c r="H232" s="257">
        <v>8.7219999999999995</v>
      </c>
      <c r="I232" s="671">
        <v>206.27</v>
      </c>
      <c r="J232" s="697">
        <v>8.6329999999999991</v>
      </c>
      <c r="K232" s="496"/>
      <c r="L232" s="484"/>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317.60000000000002</v>
      </c>
      <c r="H233" s="257">
        <v>4.6500000000000004</v>
      </c>
      <c r="I233" s="671">
        <v>318.74</v>
      </c>
      <c r="J233" s="697">
        <v>4.5250000000000004</v>
      </c>
      <c r="K233" s="496"/>
      <c r="L233" s="484"/>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87.83</v>
      </c>
      <c r="H234" s="256">
        <v>582.31799999999998</v>
      </c>
      <c r="I234" s="671">
        <v>85.6</v>
      </c>
      <c r="J234" s="697">
        <v>486.45699999999999</v>
      </c>
      <c r="K234" s="496"/>
      <c r="L234" s="484"/>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88.5</v>
      </c>
      <c r="H235" s="817">
        <v>19.395</v>
      </c>
      <c r="I235" s="817">
        <v>88.6</v>
      </c>
      <c r="J235" s="817">
        <v>19.542999999999999</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119.21</v>
      </c>
      <c r="H237" s="296">
        <v>1.532</v>
      </c>
      <c r="I237" s="329">
        <v>116.11</v>
      </c>
      <c r="J237" s="697">
        <v>0.35299999999999998</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119</v>
      </c>
      <c r="H238" s="296">
        <v>1.4730000000000001</v>
      </c>
      <c r="I238" s="671">
        <v>118.59</v>
      </c>
      <c r="J238" s="697">
        <v>0.88100000000000001</v>
      </c>
      <c r="K238" s="496"/>
      <c r="L238" s="484"/>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43.57</v>
      </c>
      <c r="H239" s="256">
        <v>2.355</v>
      </c>
      <c r="I239" s="671">
        <v>44.3</v>
      </c>
      <c r="J239" s="697">
        <v>4.5039999999999996</v>
      </c>
      <c r="K239" s="496"/>
      <c r="L239" s="486"/>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47.84</v>
      </c>
      <c r="H240" s="256">
        <v>1.8160000000000001</v>
      </c>
      <c r="I240" s="672">
        <v>51.15</v>
      </c>
      <c r="J240" s="697">
        <v>2.403</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78.31</v>
      </c>
      <c r="H241" s="609">
        <v>0.65800000000000003</v>
      </c>
      <c r="I241" s="671">
        <v>77.459999999999994</v>
      </c>
      <c r="J241" s="697">
        <v>0.83</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81.08</v>
      </c>
      <c r="H242" s="296">
        <v>0.28399999999999997</v>
      </c>
      <c r="I242" s="671">
        <v>81.400000000000006</v>
      </c>
      <c r="J242" s="697">
        <v>5.0999999999999997E-2</v>
      </c>
      <c r="K242" s="496"/>
      <c r="L242" s="486"/>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69.05</v>
      </c>
      <c r="H243" s="256">
        <v>0.13200000000000001</v>
      </c>
      <c r="I243" s="671">
        <v>63.57</v>
      </c>
      <c r="J243" s="697">
        <v>0.20100000000000001</v>
      </c>
      <c r="K243" s="496"/>
      <c r="L243" s="486"/>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44.98</v>
      </c>
      <c r="H244" s="296">
        <v>9.8000000000000004E-2</v>
      </c>
      <c r="I244" s="671">
        <v>46.9</v>
      </c>
      <c r="J244" s="697">
        <v>0.38100000000000001</v>
      </c>
      <c r="K244" s="496"/>
      <c r="L244" s="487"/>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135.91999999999999</v>
      </c>
      <c r="H245" s="256">
        <v>361.34500000000003</v>
      </c>
      <c r="I245" s="327">
        <v>134.66</v>
      </c>
      <c r="J245" s="700">
        <v>292.88200000000001</v>
      </c>
      <c r="K245" s="496"/>
      <c r="L245" s="486"/>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184</v>
      </c>
      <c r="H246" s="256">
        <v>23.12</v>
      </c>
      <c r="I246" s="327">
        <v>185.21</v>
      </c>
      <c r="J246" s="700">
        <v>25.616</v>
      </c>
      <c r="K246" s="496" t="s">
        <v>187</v>
      </c>
      <c r="L246" s="486"/>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112.97</v>
      </c>
      <c r="J247" s="700">
        <v>2.0990000000000002</v>
      </c>
      <c r="K247" s="496" t="s">
        <v>187</v>
      </c>
      <c r="L247" s="487"/>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203.63</v>
      </c>
      <c r="H248" s="256">
        <v>0.28599999999999998</v>
      </c>
      <c r="I248" s="673">
        <v>199.96</v>
      </c>
      <c r="J248" s="700">
        <v>2.7E-2</v>
      </c>
      <c r="K248" s="496"/>
      <c r="L248" s="487"/>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223.78</v>
      </c>
      <c r="H249" s="256">
        <v>0.40799999999999997</v>
      </c>
      <c r="I249" s="327">
        <v>220.84</v>
      </c>
      <c r="J249" s="700">
        <v>0.19800000000000001</v>
      </c>
      <c r="K249" s="496"/>
      <c r="L249" s="487"/>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194.77</v>
      </c>
      <c r="J250" s="701">
        <v>0.54400000000000004</v>
      </c>
      <c r="K250" s="496"/>
      <c r="L250" s="486"/>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165.47</v>
      </c>
      <c r="H251" s="256">
        <v>0.28799999999999998</v>
      </c>
      <c r="I251" s="673">
        <v>164.65</v>
      </c>
      <c r="J251" s="700">
        <v>0.19500000000000001</v>
      </c>
      <c r="K251" s="496"/>
      <c r="L251" s="487"/>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228.07</v>
      </c>
      <c r="H252" s="256">
        <v>0.628</v>
      </c>
      <c r="I252" s="673">
        <v>222.42</v>
      </c>
      <c r="J252" s="700">
        <v>0.183</v>
      </c>
      <c r="K252" s="496"/>
      <c r="L252" s="486"/>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245.93</v>
      </c>
      <c r="J253" s="702">
        <v>0.997</v>
      </c>
      <c r="K253" s="496"/>
      <c r="L253" s="486"/>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515.04999999999995</v>
      </c>
      <c r="J254" s="701">
        <v>7.0759999999999996</v>
      </c>
      <c r="K254" s="496"/>
      <c r="L254" s="487"/>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148.74</v>
      </c>
      <c r="H255" s="256">
        <v>2.4540000000000002</v>
      </c>
      <c r="I255" s="327">
        <v>143.79</v>
      </c>
      <c r="J255" s="701">
        <v>0.378</v>
      </c>
      <c r="K255" s="496"/>
      <c r="L255" s="487"/>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204.64</v>
      </c>
      <c r="J256" s="700">
        <v>3.1</v>
      </c>
      <c r="K256" s="496"/>
      <c r="L256" s="487"/>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325.3</v>
      </c>
      <c r="H257" s="257">
        <v>0.622</v>
      </c>
      <c r="I257" s="673">
        <v>325.5</v>
      </c>
      <c r="J257" s="701">
        <v>0.64100000000000001</v>
      </c>
      <c r="K257" s="496"/>
      <c r="L257" s="466"/>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283.01</v>
      </c>
      <c r="J259" s="700">
        <v>0.48399999999999999</v>
      </c>
      <c r="K259" s="496"/>
      <c r="L259" s="486"/>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99.1</v>
      </c>
      <c r="J260" s="701">
        <v>2.97</v>
      </c>
      <c r="K260" s="496"/>
      <c r="L260" s="486"/>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188.7</v>
      </c>
      <c r="J261" s="701">
        <v>4.7E-2</v>
      </c>
      <c r="K261" s="496"/>
      <c r="L261" s="466"/>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170.85</v>
      </c>
      <c r="H262" s="296">
        <v>8.8999999999999996E-2</v>
      </c>
      <c r="I262" s="673">
        <v>168.75</v>
      </c>
      <c r="J262" s="701">
        <v>3.7999999999999999E-2</v>
      </c>
      <c r="K262" s="496"/>
      <c r="L262" s="466"/>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139.63</v>
      </c>
      <c r="H263" s="256">
        <v>7.2649999999999997</v>
      </c>
      <c r="I263" s="327">
        <v>140.54</v>
      </c>
      <c r="J263" s="703">
        <v>9.8740000000000006</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238.71</v>
      </c>
      <c r="H264" s="296">
        <v>2.2490000000000001</v>
      </c>
      <c r="I264" s="327">
        <v>239.04</v>
      </c>
      <c r="J264" s="703">
        <v>2.427</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118.85</v>
      </c>
      <c r="J265" s="700">
        <v>3.0310000000000001</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110.24</v>
      </c>
      <c r="H266" s="256">
        <v>2.1429999999999998</v>
      </c>
      <c r="I266" s="327">
        <v>110.69</v>
      </c>
      <c r="J266" s="700">
        <v>2.8479999999999999</v>
      </c>
      <c r="K266" s="496"/>
      <c r="L266" s="490"/>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65.8</v>
      </c>
      <c r="H267" s="296">
        <v>22.59</v>
      </c>
      <c r="I267" s="327">
        <v>67.97</v>
      </c>
      <c r="J267" s="703">
        <v>26.74</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167.72</v>
      </c>
      <c r="H268" s="296">
        <v>223.47</v>
      </c>
      <c r="I268" s="327">
        <v>167.24</v>
      </c>
      <c r="J268" s="703">
        <v>219.29</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228.78</v>
      </c>
      <c r="H269" s="296">
        <v>4.7469999999999999</v>
      </c>
      <c r="I269" s="327">
        <v>230.44</v>
      </c>
      <c r="J269" s="703">
        <v>13.236000000000001</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148.24</v>
      </c>
      <c r="H270" s="331">
        <v>9.85</v>
      </c>
      <c r="I270" s="314">
        <v>149.43</v>
      </c>
      <c r="J270" s="705">
        <v>15.51</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38.67</v>
      </c>
      <c r="J271" s="700">
        <v>0.436</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70.099999999999994</v>
      </c>
      <c r="J272" s="700">
        <v>0.76400000000000001</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1416.0629999999999</v>
      </c>
      <c r="I273" s="317"/>
      <c r="J273" s="691">
        <f>SUM(J228:J272)</f>
        <v>1294.268</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0.91399040861882563</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0.77768757723278936</v>
      </c>
      <c r="I275" s="324"/>
      <c r="J275" s="693">
        <f>+J273/F273</f>
        <v>0.71079898649278173</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3</v>
      </c>
      <c r="G277" s="555" t="s">
        <v>258</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55</v>
      </c>
      <c r="H282" s="255">
        <v>26.765999999999998</v>
      </c>
      <c r="I282" s="654">
        <v>55.38</v>
      </c>
      <c r="J282" s="654">
        <v>28.911000000000001</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339.03</v>
      </c>
      <c r="J283" s="697">
        <v>7.3769999999999998</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73.86</v>
      </c>
      <c r="H284" s="296">
        <v>28.387</v>
      </c>
      <c r="I284" s="327">
        <v>77.47</v>
      </c>
      <c r="J284" s="697">
        <v>48.823999999999998</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462.9</v>
      </c>
      <c r="H285" s="327">
        <v>45.993000000000002</v>
      </c>
      <c r="I285" s="313">
        <v>463</v>
      </c>
      <c r="J285" s="255">
        <v>48.21</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206.35</v>
      </c>
      <c r="H286" s="257">
        <v>8.7219999999999995</v>
      </c>
      <c r="I286" s="653">
        <v>206.27</v>
      </c>
      <c r="J286" s="255">
        <v>8.6329999999999991</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317.60000000000002</v>
      </c>
      <c r="H287" s="257">
        <v>4.6500000000000004</v>
      </c>
      <c r="I287" s="653">
        <v>318.74</v>
      </c>
      <c r="J287" s="255">
        <v>4.5250000000000004</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87.83</v>
      </c>
      <c r="H288" s="256">
        <v>582.31799999999998</v>
      </c>
      <c r="I288" s="653">
        <v>85.6</v>
      </c>
      <c r="J288" s="255">
        <v>486.45699999999999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88.5</v>
      </c>
      <c r="H289" s="817">
        <v>19.395</v>
      </c>
      <c r="I289" s="817">
        <v>88.6</v>
      </c>
      <c r="J289" s="817">
        <v>19.542999999999999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119.21</v>
      </c>
      <c r="H291" s="296">
        <v>1.532</v>
      </c>
      <c r="I291" s="329">
        <v>116.11</v>
      </c>
      <c r="J291" s="255">
        <v>0.35299999999999998</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119</v>
      </c>
      <c r="H292" s="296">
        <v>1.4730000000000001</v>
      </c>
      <c r="I292" s="653">
        <v>118.58</v>
      </c>
      <c r="J292" s="255">
        <v>0.878</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43.57</v>
      </c>
      <c r="H293" s="256">
        <v>2.355</v>
      </c>
      <c r="I293" s="653">
        <v>44.3</v>
      </c>
      <c r="J293" s="255">
        <v>4.5039999999999996</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47.84</v>
      </c>
      <c r="H294" s="256">
        <v>1.8160000000000001</v>
      </c>
      <c r="I294" s="657">
        <v>51.15</v>
      </c>
      <c r="J294" s="255">
        <v>2.403</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78.31</v>
      </c>
      <c r="H295" s="609">
        <v>0.65800000000000003</v>
      </c>
      <c r="I295" s="653">
        <v>77.459999999999994</v>
      </c>
      <c r="J295" s="255">
        <v>0.83</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81.08</v>
      </c>
      <c r="H296" s="296">
        <v>0.28399999999999997</v>
      </c>
      <c r="I296" s="653">
        <v>81.400000000000006</v>
      </c>
      <c r="J296" s="255">
        <v>5.0999999999999997E-2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69.05</v>
      </c>
      <c r="H297" s="256">
        <v>0.13200000000000001</v>
      </c>
      <c r="I297" s="653">
        <v>63.57</v>
      </c>
      <c r="J297" s="255">
        <v>0.20100000000000001</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44.98</v>
      </c>
      <c r="H298" s="296">
        <v>9.8000000000000004E-2</v>
      </c>
      <c r="I298" s="653">
        <v>46.92</v>
      </c>
      <c r="J298" s="255">
        <v>0.38400000000000001</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135.91999999999999</v>
      </c>
      <c r="H299" s="256">
        <v>361.34500000000003</v>
      </c>
      <c r="I299" s="256">
        <v>134.65</v>
      </c>
      <c r="J299" s="707">
        <v>292.37900000000002</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184</v>
      </c>
      <c r="H300" s="256">
        <v>23.12</v>
      </c>
      <c r="I300" s="256">
        <v>185.12</v>
      </c>
      <c r="J300" s="707">
        <v>25.358000000000001</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113.3</v>
      </c>
      <c r="H301" s="256">
        <v>2.2490000000000001</v>
      </c>
      <c r="I301" s="256">
        <v>112.96</v>
      </c>
      <c r="J301" s="707">
        <v>2.0950000000000002</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203.63</v>
      </c>
      <c r="H302" s="256">
        <v>0.28599999999999998</v>
      </c>
      <c r="I302" s="257">
        <v>199.96</v>
      </c>
      <c r="J302" s="707">
        <v>2.7E-2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223.78</v>
      </c>
      <c r="H303" s="256">
        <v>0.40799999999999997</v>
      </c>
      <c r="I303" s="256">
        <v>220.84</v>
      </c>
      <c r="J303" s="707">
        <v>0.19800000000000001</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195</v>
      </c>
      <c r="H304" s="256">
        <v>0.58399999999999996</v>
      </c>
      <c r="I304" s="257">
        <v>194.75</v>
      </c>
      <c r="J304" s="708">
        <v>0.53700000000000003</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165.47</v>
      </c>
      <c r="H305" s="256">
        <v>0.28799999999999998</v>
      </c>
      <c r="I305" s="257">
        <v>164.59</v>
      </c>
      <c r="J305" s="707">
        <v>0.19</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228.07</v>
      </c>
      <c r="H306" s="256">
        <v>0.628</v>
      </c>
      <c r="I306" s="257">
        <v>222.41</v>
      </c>
      <c r="J306" s="707">
        <v>0.183</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248.7</v>
      </c>
      <c r="H307" s="255">
        <v>1.708</v>
      </c>
      <c r="I307" s="365">
        <v>246.1</v>
      </c>
      <c r="J307" s="709">
        <v>1.022</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514.9</v>
      </c>
      <c r="H308" s="256">
        <v>7.0289999999999999</v>
      </c>
      <c r="I308" s="257">
        <v>515.07000000000005</v>
      </c>
      <c r="J308" s="708">
        <v>7.0679999999999996</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148.74</v>
      </c>
      <c r="H309" s="256">
        <v>2.4540000000000002</v>
      </c>
      <c r="I309" s="256">
        <v>143.79</v>
      </c>
      <c r="J309" s="708">
        <v>0.378</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204.56</v>
      </c>
      <c r="H310" s="257">
        <v>3.052</v>
      </c>
      <c r="I310" s="256">
        <v>204.67</v>
      </c>
      <c r="J310" s="707">
        <v>3.1179999999999999</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325.3</v>
      </c>
      <c r="H311" s="257">
        <v>0.622</v>
      </c>
      <c r="I311" s="257">
        <v>325.5</v>
      </c>
      <c r="J311" s="708">
        <v>0.64100000000000001</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282.7</v>
      </c>
      <c r="H313" s="256">
        <v>0.45800000000000002</v>
      </c>
      <c r="I313" s="256">
        <v>282.95999999999998</v>
      </c>
      <c r="J313" s="707">
        <v>0.48</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98.5</v>
      </c>
      <c r="H314" s="256">
        <v>2.5219999999999998</v>
      </c>
      <c r="I314" s="257">
        <v>98.95</v>
      </c>
      <c r="J314" s="708">
        <v>2.8490000000000002</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189.5</v>
      </c>
      <c r="H315" s="256">
        <v>7.5999999999999998E-2</v>
      </c>
      <c r="I315" s="257">
        <v>188.7</v>
      </c>
      <c r="J315" s="708">
        <v>4.8000000000000001E-2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170.85</v>
      </c>
      <c r="H316" s="296">
        <v>8.8999999999999996E-2</v>
      </c>
      <c r="I316" s="257">
        <v>168.74</v>
      </c>
      <c r="J316" s="708">
        <v>3.7999999999999999E-2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139.63</v>
      </c>
      <c r="H317" s="256">
        <v>7.2649999999999997</v>
      </c>
      <c r="I317" s="256">
        <v>140.51</v>
      </c>
      <c r="J317" s="710">
        <v>9.7850000000000001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238.71</v>
      </c>
      <c r="H318" s="296">
        <v>2.2490000000000001</v>
      </c>
      <c r="I318" s="645">
        <v>239.05</v>
      </c>
      <c r="J318" s="711">
        <v>2.4340000000000002</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118.7</v>
      </c>
      <c r="H319" s="256">
        <v>2.78</v>
      </c>
      <c r="I319" s="256">
        <v>118.85</v>
      </c>
      <c r="J319" s="707">
        <v>3.0310000000000001</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110.24</v>
      </c>
      <c r="H320" s="256">
        <v>2.1429999999999998</v>
      </c>
      <c r="I320" s="256">
        <v>110.69</v>
      </c>
      <c r="J320" s="707">
        <v>2.8479999999999999</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65.8</v>
      </c>
      <c r="H321" s="296">
        <v>22.59</v>
      </c>
      <c r="I321" s="256">
        <v>68.010000000000005</v>
      </c>
      <c r="J321" s="710">
        <v>26.82</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167.72</v>
      </c>
      <c r="H322" s="296">
        <v>223.47</v>
      </c>
      <c r="I322" s="256">
        <v>167.27</v>
      </c>
      <c r="J322" s="703">
        <v>219.55</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228.77</v>
      </c>
      <c r="H323" s="296">
        <v>4.7119999999999997</v>
      </c>
      <c r="I323" s="256">
        <v>230.27</v>
      </c>
      <c r="J323" s="710">
        <v>12.151999999999999</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148.24</v>
      </c>
      <c r="H324" s="331">
        <v>9.85</v>
      </c>
      <c r="I324" s="314">
        <v>149.46</v>
      </c>
      <c r="J324" s="705">
        <v>15.54</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38.67</v>
      </c>
      <c r="J325" s="707">
        <v>0.436</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70.099999999999994</v>
      </c>
      <c r="J326" s="707">
        <v>0.76400000000000001</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1416.0279999999998</v>
      </c>
      <c r="I327" s="317"/>
      <c r="J327" s="280">
        <f>SUM(J282:J326)</f>
        <v>1292.7630000000001</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0.91295016765205228</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0.77766835558431524</v>
      </c>
      <c r="I329" s="324"/>
      <c r="J329" s="266">
        <f>+J327/F327</f>
        <v>0.7099724556083965</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2</v>
      </c>
      <c r="G331" s="555" t="s">
        <v>258</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55</v>
      </c>
      <c r="H336" s="442">
        <v>26.765999999999998</v>
      </c>
      <c r="I336" s="659">
        <v>55.41</v>
      </c>
      <c r="J336" s="696">
        <v>29.081</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338.99</v>
      </c>
      <c r="J337" s="697">
        <v>7.3419999999999996</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73.86</v>
      </c>
      <c r="H338" s="296">
        <v>28.387</v>
      </c>
      <c r="I338" s="256">
        <v>77.48</v>
      </c>
      <c r="J338" s="697">
        <v>48.899000000000001</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462.9</v>
      </c>
      <c r="H339" s="327">
        <v>45.993000000000002</v>
      </c>
      <c r="I339" s="313">
        <v>462.95</v>
      </c>
      <c r="J339" s="698">
        <v>47.093000000000004</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206.35</v>
      </c>
      <c r="H340" s="257">
        <v>8.7219999999999995</v>
      </c>
      <c r="I340" s="653">
        <v>206.27</v>
      </c>
      <c r="J340" s="697">
        <v>8.6329999999999991</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317.60000000000002</v>
      </c>
      <c r="H341" s="257">
        <v>4.6500000000000004</v>
      </c>
      <c r="I341" s="653">
        <v>318.74</v>
      </c>
      <c r="J341" s="697">
        <v>4.5250000000000004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87.83</v>
      </c>
      <c r="H342" s="256">
        <v>582.31799999999998</v>
      </c>
      <c r="I342" s="653">
        <v>85.56</v>
      </c>
      <c r="J342" s="697">
        <v>484.875</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88.5</v>
      </c>
      <c r="H343" s="817">
        <v>19.395</v>
      </c>
      <c r="I343" s="817">
        <v>88.6</v>
      </c>
      <c r="J343" s="817">
        <v>19.542999999999999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119.21</v>
      </c>
      <c r="H345" s="296">
        <v>1.532</v>
      </c>
      <c r="I345" s="329">
        <v>116.11</v>
      </c>
      <c r="J345" s="697">
        <v>0.35299999999999998</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119</v>
      </c>
      <c r="H346" s="296">
        <v>1.4730000000000001</v>
      </c>
      <c r="I346" s="660">
        <v>118.58</v>
      </c>
      <c r="J346" s="699">
        <v>0.878</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43.57</v>
      </c>
      <c r="H347" s="256">
        <v>2.355</v>
      </c>
      <c r="I347" s="653">
        <v>44.3</v>
      </c>
      <c r="J347" s="697">
        <v>4.5039999999999996</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47.84</v>
      </c>
      <c r="H348" s="256">
        <v>1.8160000000000001</v>
      </c>
      <c r="I348" s="657">
        <v>51.15</v>
      </c>
      <c r="J348" s="697">
        <v>2.403</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78.31</v>
      </c>
      <c r="H349" s="609">
        <v>0.65800000000000003</v>
      </c>
      <c r="I349" s="653">
        <v>77.459999999999994</v>
      </c>
      <c r="J349" s="697">
        <v>0.83</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81.08</v>
      </c>
      <c r="H350" s="296">
        <v>0.28399999999999997</v>
      </c>
      <c r="I350" s="653">
        <v>81.41</v>
      </c>
      <c r="J350" s="697">
        <v>5.0999999999999997E-2</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69.05</v>
      </c>
      <c r="H351" s="256">
        <v>0.13200000000000001</v>
      </c>
      <c r="I351" s="653">
        <v>63.57</v>
      </c>
      <c r="J351" s="697">
        <v>0.20100000000000001</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44.98</v>
      </c>
      <c r="H352" s="296">
        <v>9.8000000000000004E-2</v>
      </c>
      <c r="I352" s="653">
        <v>46.95</v>
      </c>
      <c r="J352" s="697">
        <v>0.38900000000000001</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135.91999999999999</v>
      </c>
      <c r="H353" s="256">
        <v>361.34500000000003</v>
      </c>
      <c r="I353" s="256">
        <v>134.65</v>
      </c>
      <c r="J353" s="700">
        <v>292.37799999999999</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184</v>
      </c>
      <c r="H354" s="256">
        <v>23.12</v>
      </c>
      <c r="I354" s="256">
        <v>184.94</v>
      </c>
      <c r="J354" s="700">
        <v>25.042999999999999</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112.92</v>
      </c>
      <c r="J355" s="700">
        <v>2.0779999999999998</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203.63</v>
      </c>
      <c r="H356" s="256">
        <v>0.28599999999999998</v>
      </c>
      <c r="I356" s="257">
        <v>200.2</v>
      </c>
      <c r="J356" s="700">
        <v>3.9E-2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223.78</v>
      </c>
      <c r="H357" s="256">
        <v>0.40799999999999997</v>
      </c>
      <c r="I357" s="256">
        <v>220.81</v>
      </c>
      <c r="J357" s="700">
        <v>0.19600000000000001</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220.81</v>
      </c>
      <c r="J358" s="701">
        <v>0.19600000000000001</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165.47</v>
      </c>
      <c r="H359" s="256">
        <v>0.28799999999999998</v>
      </c>
      <c r="I359" s="257">
        <v>164.53</v>
      </c>
      <c r="J359" s="700">
        <v>0.184</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228.07</v>
      </c>
      <c r="H360" s="256">
        <v>0.628</v>
      </c>
      <c r="I360" s="257">
        <v>222.44</v>
      </c>
      <c r="J360" s="700">
        <v>0.186</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246.38</v>
      </c>
      <c r="J361" s="702">
        <v>1.0900000000000001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148.74</v>
      </c>
      <c r="H363" s="256">
        <v>2.4540000000000002</v>
      </c>
      <c r="I363" s="256">
        <v>143.79</v>
      </c>
      <c r="J363" s="701">
        <v>0.378</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204.71</v>
      </c>
      <c r="J364" s="700">
        <v>3.1419999999999999</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325.3</v>
      </c>
      <c r="H365" s="257">
        <v>0.622</v>
      </c>
      <c r="I365" s="257">
        <v>325.5</v>
      </c>
      <c r="J365" s="701">
        <v>0.64100000000000001</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282.77</v>
      </c>
      <c r="J367" s="700">
        <v>0.46400000000000002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98.96</v>
      </c>
      <c r="J368" s="700">
        <v>2.8559999999999999</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188.68</v>
      </c>
      <c r="J369" s="701">
        <v>4.7E-2</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170.85</v>
      </c>
      <c r="H370" s="296">
        <v>8.8999999999999996E-2</v>
      </c>
      <c r="I370" s="257">
        <v>168.89</v>
      </c>
      <c r="J370" s="701">
        <v>4.1000000000000002E-2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139.63</v>
      </c>
      <c r="H371" s="256">
        <v>7.2649999999999997</v>
      </c>
      <c r="I371" s="256">
        <v>140.46</v>
      </c>
      <c r="J371" s="703">
        <v>9.6349999999999998</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238.71</v>
      </c>
      <c r="H372" s="296">
        <v>2.2490000000000001</v>
      </c>
      <c r="I372" s="256">
        <v>239.08</v>
      </c>
      <c r="J372" s="703">
        <v>2.4540000000000002</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118.85</v>
      </c>
      <c r="J373" s="700">
        <v>3.0310000000000001</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110.24</v>
      </c>
      <c r="H374" s="256">
        <v>2.1429999999999998</v>
      </c>
      <c r="I374" s="256">
        <v>110.68</v>
      </c>
      <c r="J374" s="700">
        <v>2.84</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65.8</v>
      </c>
      <c r="H375" s="296">
        <v>22.59</v>
      </c>
      <c r="I375" s="256">
        <v>67.81</v>
      </c>
      <c r="J375" s="703">
        <v>26.43</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167.72</v>
      </c>
      <c r="H376" s="296">
        <v>223.47</v>
      </c>
      <c r="I376" s="256">
        <v>167.27</v>
      </c>
      <c r="J376" s="703">
        <v>219.55</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228.77</v>
      </c>
      <c r="H377" s="296">
        <v>4.7119999999999997</v>
      </c>
      <c r="I377" s="256">
        <v>229.98</v>
      </c>
      <c r="J377" s="704">
        <v>10.416</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148.24</v>
      </c>
      <c r="H378" s="331">
        <v>9.85</v>
      </c>
      <c r="I378" s="314">
        <v>149.5</v>
      </c>
      <c r="J378" s="705">
        <v>15.57</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38.67</v>
      </c>
      <c r="J379" s="706">
        <v>0.436</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70.099999999999994</v>
      </c>
      <c r="J380" s="833">
        <v>0.76400000000000001</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1416.0279999999998</v>
      </c>
      <c r="I381" s="317"/>
      <c r="J381" s="280">
        <f>SUM(J336:J380)</f>
        <v>1287.4670000000001</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0.90921012861327621</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0.77766835558431524</v>
      </c>
      <c r="I383" s="324"/>
      <c r="J383" s="266">
        <f>+J381/F381</f>
        <v>0.70706394559929031</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-2.6694</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-2.6694</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N3:Z3"/>
    <mergeCell ref="N2:Z2"/>
    <mergeCell ref="N5:N6"/>
    <mergeCell ref="O5:O6"/>
    <mergeCell ref="Z5:Z6"/>
    <mergeCell ref="Y5:Y6"/>
    <mergeCell ref="R5:R6"/>
    <mergeCell ref="Q5:Q6"/>
    <mergeCell ref="P5:P6"/>
    <mergeCell ref="X5:X6"/>
    <mergeCell ref="U5:U6"/>
    <mergeCell ref="T5:T6"/>
    <mergeCell ref="S5:S6"/>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K7:K9"/>
    <mergeCell ref="I7:J7"/>
    <mergeCell ref="AB50:AO50"/>
    <mergeCell ref="AB5:AB6"/>
    <mergeCell ref="AB49:AO49"/>
    <mergeCell ref="W5:W6"/>
    <mergeCell ref="V5:V6"/>
  </mergeCells>
  <phoneticPr fontId="29" type="noConversion"/>
  <conditionalFormatting sqref="M8:M14 M26:M49 M51:M53 M55:M56 M58:M63 N65:N82 M113:M119 M131:M154 M156 M159:M168 M170:M206 M208:M219 M315:M323 M367:M470">
    <cfRule type="containsText" dxfId="17"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18</vt:i4>
      </vt:variant>
    </vt:vector>
  </HeadingPairs>
  <TitlesOfParts>
    <vt:vector size="42" baseType="lpstr">
      <vt:lpstr>Cover</vt:lpstr>
      <vt:lpstr>GRA JATENG 41 BENDUNGAN</vt:lpstr>
      <vt:lpstr>GRA JATENG</vt:lpstr>
      <vt:lpstr>GRAHAYU</vt:lpstr>
      <vt:lpstr>GRARWNING</vt:lpstr>
      <vt:lpstr>GRACABAN</vt:lpstr>
      <vt:lpstr>GRAJATIBARANG</vt:lpstr>
      <vt:lpstr> </vt:lpstr>
      <vt:lpstr>UTAMA</vt:lpstr>
      <vt:lpstr>ANALISA</vt:lpstr>
      <vt:lpstr>RINCI 1</vt:lpstr>
      <vt:lpstr>RINCI 1BK</vt:lpstr>
      <vt:lpstr>RINCI 2</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1BK'!Print_Area</vt:lpstr>
      <vt:lpstr>'RINCI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user</cp:lastModifiedBy>
  <cp:lastPrinted>2024-04-03T01:27:52Z</cp:lastPrinted>
  <dcterms:created xsi:type="dcterms:W3CDTF">2001-01-08T14:44:55Z</dcterms:created>
  <dcterms:modified xsi:type="dcterms:W3CDTF">2024-07-03T00:34:13Z</dcterms:modified>
</cp:coreProperties>
</file>