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3.xml" ContentType="application/vnd.openxmlformats-officedocument.drawing+xml"/>
  <Override PartName="/xl/charts/chart16.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17.xml" ContentType="application/vnd.openxmlformats-officedocument.drawingml.chart+xml"/>
  <Override PartName="/xl/drawings/drawing16.xml" ContentType="application/vnd.openxmlformats-officedocument.drawingml.chartshapes+xml"/>
  <Override PartName="/xl/charts/chart1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9.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 yWindow="30" windowWidth="9735" windowHeight="8115" firstSheet="7" activeTab="13"/>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JATENG'!$A$1:$K$54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44525"/>
  <fileRecoveryPr autoRecover="0"/>
</workbook>
</file>

<file path=xl/calcChain.xml><?xml version="1.0" encoding="utf-8"?>
<calcChain xmlns="http://schemas.openxmlformats.org/spreadsheetml/2006/main">
  <c r="L24" i="11" l="1"/>
  <c r="H52" i="11" l="1"/>
  <c r="H32" i="3" l="1"/>
  <c r="H33" i="3"/>
  <c r="H34" i="3"/>
  <c r="H35" i="3"/>
  <c r="H36" i="3"/>
  <c r="H37" i="3"/>
  <c r="H38" i="3"/>
  <c r="H39" i="3"/>
  <c r="H40" i="3"/>
  <c r="H41" i="3"/>
  <c r="H42" i="3"/>
  <c r="H43" i="3"/>
  <c r="H44" i="3"/>
  <c r="H45" i="3"/>
  <c r="H46" i="3"/>
  <c r="H47" i="3"/>
  <c r="H48" i="3"/>
  <c r="H26" i="3"/>
  <c r="H27" i="3"/>
  <c r="H28" i="3"/>
  <c r="H29" i="3"/>
  <c r="H30" i="3"/>
  <c r="H31" i="3"/>
  <c r="H15" i="3"/>
  <c r="H16" i="3"/>
  <c r="H17" i="3"/>
  <c r="H18" i="3"/>
  <c r="H19" i="3"/>
  <c r="H20" i="3"/>
  <c r="H21" i="3"/>
  <c r="H22" i="3"/>
  <c r="H23" i="3"/>
  <c r="H24" i="3"/>
  <c r="H25" i="3"/>
  <c r="L18" i="11" l="1"/>
  <c r="K114" i="11" l="1"/>
  <c r="J253" i="11" l="1"/>
  <c r="L341" i="11" l="1"/>
  <c r="J52" i="11" l="1"/>
  <c r="J53" i="11" l="1"/>
  <c r="G9" i="12"/>
  <c r="I14" i="12" l="1"/>
  <c r="I13" i="12"/>
  <c r="B5" i="35" l="1"/>
  <c r="B6" i="35" s="1"/>
  <c r="B7" i="35" s="1"/>
  <c r="B8" i="35" s="1"/>
  <c r="B9" i="35" s="1"/>
  <c r="B10" i="35" s="1"/>
  <c r="B11" i="35" s="1"/>
  <c r="B12" i="35" s="1"/>
  <c r="F52" i="11" l="1"/>
  <c r="F353" i="11"/>
  <c r="I12" i="12" l="1"/>
  <c r="G9" i="14"/>
  <c r="A13" i="14"/>
  <c r="A17" i="14" s="1"/>
  <c r="A21" i="14" s="1"/>
  <c r="A25" i="14" s="1"/>
  <c r="A29" i="14" s="1"/>
  <c r="A33" i="14" s="1"/>
  <c r="A37" i="14" s="1"/>
  <c r="A41" i="14" s="1"/>
  <c r="A45" i="14" s="1"/>
  <c r="A49" i="14" s="1"/>
  <c r="A53" i="14" s="1"/>
  <c r="G13" i="14"/>
  <c r="G17" i="14"/>
  <c r="G21" i="14"/>
  <c r="G25" i="14"/>
  <c r="G29" i="14"/>
  <c r="G33" i="14"/>
  <c r="G37" i="14"/>
  <c r="G41" i="14"/>
  <c r="G45" i="14"/>
  <c r="G49" i="14"/>
  <c r="G53" i="14"/>
  <c r="B4" i="13"/>
  <c r="F9" i="13"/>
  <c r="G9" i="13"/>
  <c r="H9" i="13"/>
  <c r="I9"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F10" i="13"/>
  <c r="G10" i="13"/>
  <c r="H10" i="13"/>
  <c r="I10" i="13"/>
  <c r="F11" i="13"/>
  <c r="G11" i="13"/>
  <c r="H11" i="13"/>
  <c r="I11" i="13"/>
  <c r="F12" i="13"/>
  <c r="G12" i="13"/>
  <c r="H12" i="13"/>
  <c r="I12" i="13"/>
  <c r="F13" i="13"/>
  <c r="G13" i="13"/>
  <c r="H13" i="13"/>
  <c r="I13" i="13"/>
  <c r="F14" i="13"/>
  <c r="G14" i="13"/>
  <c r="H14" i="13"/>
  <c r="I14" i="13"/>
  <c r="F15" i="13"/>
  <c r="G15" i="13"/>
  <c r="H15" i="13"/>
  <c r="I15" i="13"/>
  <c r="F16" i="13"/>
  <c r="G16" i="13"/>
  <c r="H16" i="13"/>
  <c r="I16" i="13"/>
  <c r="F17" i="13"/>
  <c r="G17" i="13"/>
  <c r="H17" i="13"/>
  <c r="I17" i="13"/>
  <c r="F18" i="13"/>
  <c r="G18" i="13"/>
  <c r="H18" i="13"/>
  <c r="I18" i="13"/>
  <c r="F19" i="13"/>
  <c r="G19" i="13"/>
  <c r="H19" i="13"/>
  <c r="I19" i="13"/>
  <c r="F20" i="13"/>
  <c r="G20" i="13"/>
  <c r="H20" i="13"/>
  <c r="I20" i="13"/>
  <c r="F21" i="13"/>
  <c r="G21" i="13"/>
  <c r="I21" i="13"/>
  <c r="J21" i="13" s="1"/>
  <c r="AA14" i="30" s="1"/>
  <c r="F22" i="13"/>
  <c r="G22" i="13"/>
  <c r="H22" i="13"/>
  <c r="I22" i="13"/>
  <c r="F23" i="13"/>
  <c r="G23" i="13"/>
  <c r="H23" i="13"/>
  <c r="I23" i="13"/>
  <c r="F24" i="13"/>
  <c r="G24" i="13"/>
  <c r="H24" i="13"/>
  <c r="I24" i="13"/>
  <c r="F25" i="13"/>
  <c r="G25" i="13"/>
  <c r="H25" i="13"/>
  <c r="I25" i="13"/>
  <c r="F26" i="13"/>
  <c r="G26" i="13"/>
  <c r="H26" i="13"/>
  <c r="I26" i="13"/>
  <c r="F27" i="13"/>
  <c r="G27" i="13"/>
  <c r="H27" i="13"/>
  <c r="I27" i="13"/>
  <c r="F28" i="13"/>
  <c r="G28" i="13"/>
  <c r="H28" i="13"/>
  <c r="I28" i="13"/>
  <c r="F29" i="13"/>
  <c r="G29" i="13"/>
  <c r="H29" i="13"/>
  <c r="I29" i="13"/>
  <c r="F30" i="13"/>
  <c r="G30" i="13"/>
  <c r="H30" i="13"/>
  <c r="I30" i="13"/>
  <c r="F31" i="13"/>
  <c r="G31" i="13"/>
  <c r="H31" i="13"/>
  <c r="I31" i="13"/>
  <c r="F32" i="13"/>
  <c r="G32" i="13"/>
  <c r="H32" i="13"/>
  <c r="I32" i="13"/>
  <c r="F33" i="13"/>
  <c r="G33" i="13"/>
  <c r="H33" i="13"/>
  <c r="I33" i="13"/>
  <c r="F34" i="13"/>
  <c r="G34" i="13"/>
  <c r="H34" i="13"/>
  <c r="I34" i="13"/>
  <c r="F35" i="13"/>
  <c r="G35" i="13"/>
  <c r="H35" i="13"/>
  <c r="I35" i="13"/>
  <c r="F36" i="13"/>
  <c r="G36" i="13"/>
  <c r="H36" i="13"/>
  <c r="I36" i="13"/>
  <c r="F37" i="13"/>
  <c r="G37" i="13"/>
  <c r="H37" i="13"/>
  <c r="I37" i="13"/>
  <c r="F38" i="13"/>
  <c r="G38" i="13"/>
  <c r="H38" i="13"/>
  <c r="I38" i="13"/>
  <c r="F39" i="13"/>
  <c r="G39" i="13"/>
  <c r="H39" i="13"/>
  <c r="I39" i="13"/>
  <c r="F40" i="13"/>
  <c r="G40" i="13"/>
  <c r="H40" i="13"/>
  <c r="I40" i="13"/>
  <c r="D41" i="13"/>
  <c r="E41" i="13"/>
  <c r="B4" i="12"/>
  <c r="F9" i="12"/>
  <c r="H9" i="12"/>
  <c r="I9" i="12"/>
  <c r="B10" i="12"/>
  <c r="B11" i="12" s="1"/>
  <c r="B12" i="12" s="1"/>
  <c r="B13" i="12" s="1"/>
  <c r="B14" i="12" s="1"/>
  <c r="B15" i="12" s="1"/>
  <c r="B16" i="12" s="1"/>
  <c r="F10" i="12"/>
  <c r="G10" i="12"/>
  <c r="H10" i="12"/>
  <c r="I10" i="12"/>
  <c r="F11" i="12"/>
  <c r="G11" i="12"/>
  <c r="H11" i="12"/>
  <c r="I11" i="12"/>
  <c r="F12" i="12"/>
  <c r="G12" i="12"/>
  <c r="H12" i="12"/>
  <c r="F13" i="12"/>
  <c r="G13" i="12"/>
  <c r="H13" i="12"/>
  <c r="F14" i="12"/>
  <c r="G14" i="12"/>
  <c r="H14" i="12"/>
  <c r="F15" i="12"/>
  <c r="G15" i="12"/>
  <c r="H15" i="12"/>
  <c r="I15" i="12"/>
  <c r="F16" i="12"/>
  <c r="G16" i="12"/>
  <c r="H16" i="12"/>
  <c r="I16" i="12"/>
  <c r="G17" i="12"/>
  <c r="H17" i="12"/>
  <c r="I17" i="12"/>
  <c r="D18" i="12"/>
  <c r="E18" i="12"/>
  <c r="E54" i="11" s="1"/>
  <c r="L11" i="11"/>
  <c r="B12" i="1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L12" i="11"/>
  <c r="L13" i="11"/>
  <c r="L14" i="11"/>
  <c r="L15" i="11"/>
  <c r="L16" i="11"/>
  <c r="L17" i="11"/>
  <c r="L19" i="11"/>
  <c r="L20" i="11"/>
  <c r="L21" i="11"/>
  <c r="L22" i="11"/>
  <c r="L25" i="11"/>
  <c r="L26" i="11"/>
  <c r="L27" i="11"/>
  <c r="L28" i="11"/>
  <c r="L29" i="11"/>
  <c r="L30" i="11"/>
  <c r="L31" i="11"/>
  <c r="L32" i="11"/>
  <c r="L33" i="11"/>
  <c r="L34" i="11"/>
  <c r="L35" i="11"/>
  <c r="L36" i="11"/>
  <c r="L37" i="11"/>
  <c r="L38" i="11"/>
  <c r="L39" i="11"/>
  <c r="O39" i="11"/>
  <c r="P39" i="11"/>
  <c r="Q39" i="11"/>
  <c r="R39" i="11"/>
  <c r="S39" i="11"/>
  <c r="T39" i="11"/>
  <c r="U39" i="11"/>
  <c r="V39" i="11"/>
  <c r="W39" i="11"/>
  <c r="X39" i="11"/>
  <c r="Y39" i="11"/>
  <c r="Z39" i="11"/>
  <c r="L40" i="11"/>
  <c r="O40" i="11"/>
  <c r="P40" i="11"/>
  <c r="Q40" i="11"/>
  <c r="R40" i="11"/>
  <c r="S40" i="11"/>
  <c r="T40" i="11"/>
  <c r="U40" i="11"/>
  <c r="V40" i="11"/>
  <c r="W40" i="11"/>
  <c r="X40" i="11"/>
  <c r="Y40" i="11"/>
  <c r="Z40" i="11"/>
  <c r="L41" i="11"/>
  <c r="O41" i="11"/>
  <c r="P41" i="11"/>
  <c r="Q41" i="11"/>
  <c r="R41" i="11"/>
  <c r="S41" i="11"/>
  <c r="T41" i="11"/>
  <c r="U41" i="11"/>
  <c r="V41" i="11"/>
  <c r="W41" i="11"/>
  <c r="X41" i="11"/>
  <c r="Y41" i="11"/>
  <c r="Z41" i="11"/>
  <c r="L42" i="11"/>
  <c r="O42" i="11"/>
  <c r="P42" i="11"/>
  <c r="Q42" i="11"/>
  <c r="R42" i="11"/>
  <c r="S42" i="11"/>
  <c r="T42" i="11"/>
  <c r="U42" i="11"/>
  <c r="V42" i="11"/>
  <c r="W42" i="11"/>
  <c r="X42" i="11"/>
  <c r="Y42" i="11"/>
  <c r="Z42" i="11"/>
  <c r="L43" i="11"/>
  <c r="L44" i="11"/>
  <c r="O44" i="11"/>
  <c r="P44" i="11"/>
  <c r="Q44" i="11"/>
  <c r="R44" i="11"/>
  <c r="S44" i="11"/>
  <c r="T44" i="11"/>
  <c r="U44" i="11"/>
  <c r="V44" i="11"/>
  <c r="W44" i="11"/>
  <c r="X44" i="11"/>
  <c r="Y44" i="11"/>
  <c r="Z44" i="11"/>
  <c r="L45" i="11"/>
  <c r="L46" i="11"/>
  <c r="B47" i="11"/>
  <c r="L47" i="11"/>
  <c r="L48" i="11"/>
  <c r="L49" i="11"/>
  <c r="AP49" i="11"/>
  <c r="B50" i="11"/>
  <c r="L50" i="11"/>
  <c r="L51" i="11"/>
  <c r="AR51" i="11"/>
  <c r="AR52" i="11" s="1"/>
  <c r="AC43" i="11" s="1"/>
  <c r="AS51" i="11"/>
  <c r="AS52" i="11" s="1"/>
  <c r="AD43" i="11" s="1"/>
  <c r="AD42" i="11" s="1"/>
  <c r="AT51" i="11"/>
  <c r="AT52" i="11" s="1"/>
  <c r="AE43" i="11" s="1"/>
  <c r="AU51" i="11"/>
  <c r="AU52" i="11" s="1"/>
  <c r="AF43" i="11" s="1"/>
  <c r="AV51" i="11"/>
  <c r="AV52" i="11" s="1"/>
  <c r="AG43" i="11" s="1"/>
  <c r="AW51" i="11"/>
  <c r="AW52" i="11" s="1"/>
  <c r="AH43" i="11" s="1"/>
  <c r="AH42" i="11" s="1"/>
  <c r="AX51" i="11"/>
  <c r="AX52" i="11" s="1"/>
  <c r="AI43" i="11" s="1"/>
  <c r="AY51" i="11"/>
  <c r="AY52" i="11" s="1"/>
  <c r="AJ43" i="11" s="1"/>
  <c r="AZ51" i="11"/>
  <c r="AZ52" i="11" s="1"/>
  <c r="AK43" i="11" s="1"/>
  <c r="BA51" i="11"/>
  <c r="BA52" i="11" s="1"/>
  <c r="AL43" i="11" s="1"/>
  <c r="AL42" i="11" s="1"/>
  <c r="BB51" i="11"/>
  <c r="BB52" i="11" s="1"/>
  <c r="AM43" i="11" s="1"/>
  <c r="BC51" i="11"/>
  <c r="BC52" i="11" s="1"/>
  <c r="AN43" i="11" s="1"/>
  <c r="AR57" i="11"/>
  <c r="AR58" i="11" s="1"/>
  <c r="AC45" i="11" s="1"/>
  <c r="AC44" i="11" s="1"/>
  <c r="AS57" i="11"/>
  <c r="AS58" i="11" s="1"/>
  <c r="AD45" i="11" s="1"/>
  <c r="AT57" i="11"/>
  <c r="AT58" i="11" s="1"/>
  <c r="AE45" i="11" s="1"/>
  <c r="AE44" i="11" s="1"/>
  <c r="AU57" i="11"/>
  <c r="AU58" i="11" s="1"/>
  <c r="AF45" i="11" s="1"/>
  <c r="AF44" i="11" s="1"/>
  <c r="AV57" i="11"/>
  <c r="AV58" i="11" s="1"/>
  <c r="AG45" i="11" s="1"/>
  <c r="AG44" i="11" s="1"/>
  <c r="AW57" i="11"/>
  <c r="AW58" i="11" s="1"/>
  <c r="AH45" i="11" s="1"/>
  <c r="AX57" i="11"/>
  <c r="AX58" i="11" s="1"/>
  <c r="AI45" i="11" s="1"/>
  <c r="AI44" i="11" s="1"/>
  <c r="AY57" i="11"/>
  <c r="AY58" i="11" s="1"/>
  <c r="AJ45" i="11" s="1"/>
  <c r="AJ44" i="11" s="1"/>
  <c r="AZ57" i="11"/>
  <c r="AZ58" i="11" s="1"/>
  <c r="AK45" i="11" s="1"/>
  <c r="AK44" i="11" s="1"/>
  <c r="BA57" i="11"/>
  <c r="BA58" i="11" s="1"/>
  <c r="AL45" i="11" s="1"/>
  <c r="BB57" i="11"/>
  <c r="BB58" i="11" s="1"/>
  <c r="AM45" i="11" s="1"/>
  <c r="BC57" i="11"/>
  <c r="BC58" i="11" s="1"/>
  <c r="AN45" i="11" s="1"/>
  <c r="AN44" i="11" s="1"/>
  <c r="AN40" i="11" s="1"/>
  <c r="K62" i="11"/>
  <c r="AX62" i="11"/>
  <c r="B64" i="1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K64" i="11"/>
  <c r="K65" i="11"/>
  <c r="AQ65" i="11"/>
  <c r="AR65" i="11"/>
  <c r="AM66" i="11"/>
  <c r="AR66" i="11"/>
  <c r="K67" i="11"/>
  <c r="AR67" i="11"/>
  <c r="K68" i="11"/>
  <c r="AR68" i="11"/>
  <c r="K69" i="11"/>
  <c r="AR69" i="11"/>
  <c r="K70" i="11"/>
  <c r="AR70" i="11"/>
  <c r="K71" i="11"/>
  <c r="AR71" i="11"/>
  <c r="K72" i="11"/>
  <c r="AR72" i="11"/>
  <c r="K73" i="11"/>
  <c r="AR73" i="11"/>
  <c r="K74" i="11"/>
  <c r="AR74" i="11"/>
  <c r="K75" i="11"/>
  <c r="AR75" i="11"/>
  <c r="K76" i="11"/>
  <c r="AR76" i="11"/>
  <c r="K77" i="11"/>
  <c r="AR77" i="11"/>
  <c r="AR78" i="11"/>
  <c r="K79" i="11"/>
  <c r="AR79" i="11"/>
  <c r="K80" i="11"/>
  <c r="AR80" i="11"/>
  <c r="K81" i="11"/>
  <c r="AR81" i="11"/>
  <c r="AR82" i="11"/>
  <c r="AR83" i="11"/>
  <c r="AR84" i="11"/>
  <c r="K85" i="11"/>
  <c r="AR85" i="11"/>
  <c r="AR86" i="11"/>
  <c r="K87" i="11"/>
  <c r="AR87" i="11"/>
  <c r="AR88" i="11"/>
  <c r="AR89" i="11"/>
  <c r="K90" i="11"/>
  <c r="AR90" i="11"/>
  <c r="K91" i="11"/>
  <c r="AR91" i="11"/>
  <c r="AR92" i="11"/>
  <c r="K93" i="11"/>
  <c r="AR93" i="11"/>
  <c r="K94" i="11"/>
  <c r="AR94" i="11"/>
  <c r="K95" i="11"/>
  <c r="AR95" i="11"/>
  <c r="AR96" i="11"/>
  <c r="K97" i="11"/>
  <c r="AR97" i="11"/>
  <c r="K98" i="11"/>
  <c r="AR98" i="11"/>
  <c r="K99" i="11"/>
  <c r="AR99" i="11"/>
  <c r="AR100" i="11"/>
  <c r="B101" i="11"/>
  <c r="AR101" i="11"/>
  <c r="AR102" i="11"/>
  <c r="F103" i="11"/>
  <c r="H103" i="11"/>
  <c r="J103" i="11"/>
  <c r="AR106" i="11"/>
  <c r="AR107" i="11"/>
  <c r="AR108" i="11"/>
  <c r="AR109" i="11"/>
  <c r="AR110" i="11"/>
  <c r="AR111" i="11"/>
  <c r="K112" i="11"/>
  <c r="AR112" i="11"/>
  <c r="B113" i="11"/>
  <c r="B114" i="11" s="1"/>
  <c r="B115" i="11" s="1"/>
  <c r="K113" i="11"/>
  <c r="AR113" i="11"/>
  <c r="AR114" i="11"/>
  <c r="K115" i="11"/>
  <c r="AR115" i="11"/>
  <c r="K116" i="11"/>
  <c r="AR116" i="11"/>
  <c r="K117" i="11"/>
  <c r="AR117" i="11"/>
  <c r="B118" i="11"/>
  <c r="B119" i="11" s="1"/>
  <c r="B120" i="11" s="1"/>
  <c r="B121" i="11" s="1"/>
  <c r="B122" i="11" s="1"/>
  <c r="B123" i="11" s="1"/>
  <c r="B124" i="11" s="1"/>
  <c r="B125" i="11" s="1"/>
  <c r="B126" i="11" s="1"/>
  <c r="B127" i="11" s="1"/>
  <c r="B128" i="11" s="1"/>
  <c r="B129" i="11" s="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K118" i="11"/>
  <c r="AR118" i="11"/>
  <c r="K119" i="11"/>
  <c r="AR119" i="11"/>
  <c r="K120" i="11"/>
  <c r="AR120" i="11"/>
  <c r="K121" i="11"/>
  <c r="AR121" i="11"/>
  <c r="K122" i="11"/>
  <c r="AR122" i="11"/>
  <c r="K123" i="11"/>
  <c r="AR123" i="11"/>
  <c r="K124" i="11"/>
  <c r="AR124" i="11"/>
  <c r="K125" i="11"/>
  <c r="AR125" i="11"/>
  <c r="K126" i="11"/>
  <c r="AR126" i="11"/>
  <c r="K127" i="11"/>
  <c r="AR127" i="11"/>
  <c r="AR128" i="11"/>
  <c r="K129" i="11"/>
  <c r="AR129" i="11"/>
  <c r="K130" i="11"/>
  <c r="AR130" i="11"/>
  <c r="K131" i="11"/>
  <c r="AR131" i="11"/>
  <c r="AR132" i="11"/>
  <c r="AR133" i="11"/>
  <c r="AR134" i="11"/>
  <c r="K135" i="11"/>
  <c r="AR135" i="11"/>
  <c r="AR136" i="11"/>
  <c r="K137" i="11"/>
  <c r="AR137" i="11"/>
  <c r="AR138" i="11"/>
  <c r="K139" i="11"/>
  <c r="AR139" i="11"/>
  <c r="K140" i="11"/>
  <c r="AR140" i="11"/>
  <c r="K141" i="11"/>
  <c r="AR141" i="11"/>
  <c r="AR142" i="11"/>
  <c r="K143" i="11"/>
  <c r="AR143" i="11"/>
  <c r="K144" i="11"/>
  <c r="AR144" i="11"/>
  <c r="K145" i="11"/>
  <c r="AR145" i="11"/>
  <c r="K146" i="11"/>
  <c r="AR146" i="11"/>
  <c r="AR147" i="11"/>
  <c r="K148" i="11"/>
  <c r="AR148" i="11"/>
  <c r="K149" i="11"/>
  <c r="AR149" i="11"/>
  <c r="AR150" i="11"/>
  <c r="B151" i="11"/>
  <c r="AR151" i="11"/>
  <c r="AR152" i="11"/>
  <c r="F153" i="11"/>
  <c r="E156" i="11" s="1"/>
  <c r="H153" i="11"/>
  <c r="J153" i="11"/>
  <c r="AR156" i="11"/>
  <c r="AR157" i="11"/>
  <c r="AR158" i="11"/>
  <c r="AR159" i="11"/>
  <c r="AR160" i="11"/>
  <c r="AR161" i="11"/>
  <c r="AR162" i="11"/>
  <c r="B163" i="11"/>
  <c r="B164" i="11" s="1"/>
  <c r="B165" i="11" s="1"/>
  <c r="B166" i="11" s="1"/>
  <c r="B167" i="11" s="1"/>
  <c r="B168" i="11" s="1"/>
  <c r="B169" i="11" s="1"/>
  <c r="B170" i="11" s="1"/>
  <c r="B171" i="11" s="1"/>
  <c r="B172" i="11" s="1"/>
  <c r="B173" i="11" s="1"/>
  <c r="B174" i="11" s="1"/>
  <c r="B175" i="11" s="1"/>
  <c r="B176" i="11" s="1"/>
  <c r="B177" i="11" s="1"/>
  <c r="B178" i="11" s="1"/>
  <c r="B179" i="11" s="1"/>
  <c r="B180" i="11" s="1"/>
  <c r="B181" i="11" s="1"/>
  <c r="B182" i="11" s="1"/>
  <c r="AR163" i="11"/>
  <c r="AR164" i="11"/>
  <c r="AR165" i="11"/>
  <c r="AR166" i="11"/>
  <c r="AR167" i="11"/>
  <c r="AR168" i="11"/>
  <c r="AR169" i="11"/>
  <c r="AR170" i="11"/>
  <c r="AR171" i="11"/>
  <c r="AR172" i="11"/>
  <c r="AR173" i="11"/>
  <c r="AR174" i="11"/>
  <c r="AR175" i="11"/>
  <c r="AR176" i="11"/>
  <c r="AR177" i="11"/>
  <c r="AR178" i="11"/>
  <c r="AR179" i="11"/>
  <c r="AR180" i="11"/>
  <c r="AR181" i="11"/>
  <c r="AR182" i="11"/>
  <c r="AR183" i="11"/>
  <c r="B184" i="11"/>
  <c r="B185" i="11" s="1"/>
  <c r="B186" i="11" s="1"/>
  <c r="B187" i="11" s="1"/>
  <c r="B188" i="11" s="1"/>
  <c r="B189" i="11" s="1"/>
  <c r="B190" i="11" s="1"/>
  <c r="B191" i="11" s="1"/>
  <c r="B192" i="11" s="1"/>
  <c r="B193" i="11" s="1"/>
  <c r="AR184" i="11"/>
  <c r="AR185" i="11"/>
  <c r="AR186" i="11"/>
  <c r="AR187" i="11"/>
  <c r="AR188" i="11"/>
  <c r="AR189" i="11"/>
  <c r="AR190" i="11"/>
  <c r="AR191" i="11"/>
  <c r="AR192" i="11"/>
  <c r="AR193" i="11"/>
  <c r="AR194" i="11"/>
  <c r="B195" i="11"/>
  <c r="B196" i="11" s="1"/>
  <c r="B197" i="11" s="1"/>
  <c r="B198" i="11" s="1"/>
  <c r="AR195" i="11"/>
  <c r="AR196" i="11"/>
  <c r="AR197" i="11"/>
  <c r="AR198" i="11"/>
  <c r="AR199" i="11"/>
  <c r="AR200" i="11"/>
  <c r="B201" i="11"/>
  <c r="AR201" i="11"/>
  <c r="AR202" i="11"/>
  <c r="F203" i="11"/>
  <c r="E206" i="11" s="1"/>
  <c r="H203" i="11"/>
  <c r="J203" i="11"/>
  <c r="K203" i="11"/>
  <c r="K204" i="11" s="1"/>
  <c r="AR206" i="11"/>
  <c r="AR207" i="11"/>
  <c r="AR208" i="11"/>
  <c r="AR209" i="11"/>
  <c r="AR210" i="11"/>
  <c r="AR211" i="11"/>
  <c r="AR212" i="11"/>
  <c r="AR213" i="11"/>
  <c r="B214" i="11"/>
  <c r="B215" i="11" s="1"/>
  <c r="B216" i="11" s="1"/>
  <c r="B217" i="11" s="1"/>
  <c r="B218" i="11" s="1"/>
  <c r="B219" i="11" s="1"/>
  <c r="B220" i="11" s="1"/>
  <c r="B221" i="11" s="1"/>
  <c r="B222" i="11" s="1"/>
  <c r="B223" i="11" s="1"/>
  <c r="B224" i="11" s="1"/>
  <c r="B225" i="11" s="1"/>
  <c r="B226" i="11" s="1"/>
  <c r="B227" i="11" s="1"/>
  <c r="B228" i="11" s="1"/>
  <c r="B229" i="11" s="1"/>
  <c r="B230" i="11" s="1"/>
  <c r="B231" i="11" s="1"/>
  <c r="B232" i="11" s="1"/>
  <c r="B233" i="11" s="1"/>
  <c r="B234" i="11" s="1"/>
  <c r="B235" i="11" s="1"/>
  <c r="B236" i="11" s="1"/>
  <c r="B237" i="11" s="1"/>
  <c r="B238" i="11" s="1"/>
  <c r="B239" i="11" s="1"/>
  <c r="B240" i="11" s="1"/>
  <c r="B241" i="11" s="1"/>
  <c r="B242" i="11" s="1"/>
  <c r="B243" i="11" s="1"/>
  <c r="B244" i="11" s="1"/>
  <c r="B245" i="11" s="1"/>
  <c r="B246" i="11" s="1"/>
  <c r="B247" i="11" s="1"/>
  <c r="B248" i="11" s="1"/>
  <c r="AR214" i="11"/>
  <c r="AR215" i="11"/>
  <c r="AR216" i="11"/>
  <c r="AR217" i="11"/>
  <c r="AR218" i="11"/>
  <c r="AR219" i="11"/>
  <c r="AR220" i="11"/>
  <c r="AR221" i="11"/>
  <c r="AR222" i="11"/>
  <c r="AR223" i="11"/>
  <c r="AR224" i="11"/>
  <c r="AR225" i="11"/>
  <c r="AR226" i="11"/>
  <c r="AR227" i="11"/>
  <c r="AR228" i="11"/>
  <c r="AR229" i="11"/>
  <c r="AR230" i="11"/>
  <c r="AR231" i="11"/>
  <c r="AR232" i="11"/>
  <c r="AR233" i="11"/>
  <c r="AR234" i="11"/>
  <c r="AR235" i="11"/>
  <c r="AR236" i="11"/>
  <c r="AR237" i="11"/>
  <c r="AR238" i="11"/>
  <c r="AR239" i="11"/>
  <c r="AR240" i="11"/>
  <c r="AR241" i="11"/>
  <c r="AR242" i="11"/>
  <c r="AR243" i="11"/>
  <c r="AR244" i="11"/>
  <c r="AR245" i="11"/>
  <c r="AR246" i="11"/>
  <c r="AR247" i="11"/>
  <c r="AR248" i="11"/>
  <c r="AR249" i="11"/>
  <c r="AR250" i="11"/>
  <c r="B251" i="11"/>
  <c r="AR251" i="11"/>
  <c r="AR252" i="11"/>
  <c r="F253" i="11"/>
  <c r="E256" i="11" s="1"/>
  <c r="H253" i="11"/>
  <c r="AR256" i="11"/>
  <c r="AR257" i="11"/>
  <c r="AR258" i="11"/>
  <c r="AR259" i="11"/>
  <c r="AR260" i="11"/>
  <c r="AR261" i="11"/>
  <c r="AR262" i="11"/>
  <c r="B263" i="11"/>
  <c r="B264" i="11" s="1"/>
  <c r="B265" i="11" s="1"/>
  <c r="B266" i="11" s="1"/>
  <c r="B267" i="11" s="1"/>
  <c r="B268" i="11" s="1"/>
  <c r="B269" i="11" s="1"/>
  <c r="B270" i="11" s="1"/>
  <c r="B271" i="11" s="1"/>
  <c r="B272" i="11" s="1"/>
  <c r="B273" i="11" s="1"/>
  <c r="B274" i="11" s="1"/>
  <c r="B275" i="11" s="1"/>
  <c r="B276" i="11" s="1"/>
  <c r="B277" i="11" s="1"/>
  <c r="B278" i="11" s="1"/>
  <c r="B279" i="11" s="1"/>
  <c r="AR263" i="11"/>
  <c r="AR264" i="11"/>
  <c r="AR265" i="11"/>
  <c r="AR266" i="11"/>
  <c r="AR267" i="11"/>
  <c r="AR268" i="11"/>
  <c r="AR269" i="11"/>
  <c r="AR270" i="11"/>
  <c r="AR271" i="11"/>
  <c r="AR272" i="11"/>
  <c r="AR273" i="11"/>
  <c r="AR274" i="11"/>
  <c r="AR275" i="11"/>
  <c r="AR276" i="11"/>
  <c r="AR277" i="11"/>
  <c r="AR278" i="11"/>
  <c r="AR279" i="11"/>
  <c r="AR280" i="11"/>
  <c r="B281" i="11"/>
  <c r="B282" i="11" s="1"/>
  <c r="B283" i="11" s="1"/>
  <c r="B284" i="11" s="1"/>
  <c r="B285" i="11" s="1"/>
  <c r="B286" i="11" s="1"/>
  <c r="B287" i="11" s="1"/>
  <c r="B288" i="11" s="1"/>
  <c r="B289" i="11" s="1"/>
  <c r="B290" i="11" s="1"/>
  <c r="B291" i="11" s="1"/>
  <c r="B292" i="11" s="1"/>
  <c r="B293" i="11" s="1"/>
  <c r="B294" i="11" s="1"/>
  <c r="B295" i="11" s="1"/>
  <c r="B296" i="11" s="1"/>
  <c r="B297" i="11" s="1"/>
  <c r="B298" i="11" s="1"/>
  <c r="AR281" i="11"/>
  <c r="AR282" i="11"/>
  <c r="AR283" i="11"/>
  <c r="AR284" i="11"/>
  <c r="AR285" i="11"/>
  <c r="AR286" i="11"/>
  <c r="AR287" i="11"/>
  <c r="AR288" i="11"/>
  <c r="AR289" i="11"/>
  <c r="AR290" i="11"/>
  <c r="AR291" i="11"/>
  <c r="AR292" i="11"/>
  <c r="AR293" i="11"/>
  <c r="AR294" i="11"/>
  <c r="AR295" i="11"/>
  <c r="AR296" i="11"/>
  <c r="AR297" i="11"/>
  <c r="AR298" i="11"/>
  <c r="AR299" i="11"/>
  <c r="AR300" i="11"/>
  <c r="B301" i="11"/>
  <c r="AR301" i="11"/>
  <c r="AR302" i="11"/>
  <c r="F303" i="11"/>
  <c r="H303" i="11"/>
  <c r="J303" i="11"/>
  <c r="AR306" i="11"/>
  <c r="AR307" i="11"/>
  <c r="AR308" i="11"/>
  <c r="AR309" i="11"/>
  <c r="AR310" i="11"/>
  <c r="AR311" i="11"/>
  <c r="AR312" i="11"/>
  <c r="AR313" i="11"/>
  <c r="B314" i="11"/>
  <c r="B315" i="11" s="1"/>
  <c r="B316" i="11" s="1"/>
  <c r="B317" i="11" s="1"/>
  <c r="AR314" i="11"/>
  <c r="AR315" i="11"/>
  <c r="AR316" i="11"/>
  <c r="AR317" i="11"/>
  <c r="AR318" i="11"/>
  <c r="B319" i="11"/>
  <c r="B320" i="11" s="1"/>
  <c r="B321" i="11" s="1"/>
  <c r="B322" i="11" s="1"/>
  <c r="B323" i="11" s="1"/>
  <c r="B324" i="11" s="1"/>
  <c r="B325" i="11" s="1"/>
  <c r="B326" i="11" s="1"/>
  <c r="B327" i="11" s="1"/>
  <c r="AR319" i="11"/>
  <c r="N320" i="11"/>
  <c r="AR320" i="11"/>
  <c r="AR321" i="11"/>
  <c r="AR322" i="11"/>
  <c r="AR323" i="11"/>
  <c r="AR324" i="11"/>
  <c r="AR325" i="11"/>
  <c r="AR326" i="11"/>
  <c r="AR327" i="11"/>
  <c r="AR328" i="11"/>
  <c r="B329" i="11"/>
  <c r="B330" i="11" s="1"/>
  <c r="B331" i="11" s="1"/>
  <c r="B332" i="11" s="1"/>
  <c r="B333" i="11" s="1"/>
  <c r="B334" i="11" s="1"/>
  <c r="B335" i="11" s="1"/>
  <c r="AR329" i="11"/>
  <c r="AR330" i="11"/>
  <c r="AR331" i="11"/>
  <c r="AR332" i="11"/>
  <c r="AR333" i="11"/>
  <c r="AR334" i="11"/>
  <c r="AR335" i="11"/>
  <c r="AR336" i="11"/>
  <c r="B337" i="11"/>
  <c r="B338" i="11" s="1"/>
  <c r="B339" i="11" s="1"/>
  <c r="B340" i="11" s="1"/>
  <c r="B341" i="11" s="1"/>
  <c r="B342" i="11" s="1"/>
  <c r="B343" i="11" s="1"/>
  <c r="B344" i="11" s="1"/>
  <c r="B345" i="11" s="1"/>
  <c r="B346" i="11" s="1"/>
  <c r="AR337" i="11"/>
  <c r="AR338" i="11"/>
  <c r="AR339" i="11"/>
  <c r="AR340" i="11"/>
  <c r="AR341" i="11"/>
  <c r="AR342" i="11"/>
  <c r="AR343" i="11"/>
  <c r="AR344" i="11"/>
  <c r="AR345" i="11"/>
  <c r="AR346" i="11"/>
  <c r="AR347" i="11"/>
  <c r="B348" i="11"/>
  <c r="AR348" i="11"/>
  <c r="AR349" i="11"/>
  <c r="AR350" i="11"/>
  <c r="B351" i="11"/>
  <c r="AR351" i="11"/>
  <c r="AR352" i="11"/>
  <c r="H353" i="11"/>
  <c r="J353" i="11"/>
  <c r="AR353" i="11"/>
  <c r="AR354" i="11"/>
  <c r="AR355" i="11"/>
  <c r="AR356" i="11"/>
  <c r="AR357" i="11"/>
  <c r="AR358" i="11"/>
  <c r="AR359" i="11"/>
  <c r="AR360" i="11"/>
  <c r="AR361" i="11"/>
  <c r="AR362" i="11"/>
  <c r="AR363" i="11"/>
  <c r="AR364" i="11"/>
  <c r="AR365" i="11"/>
  <c r="AR366" i="11"/>
  <c r="AR367" i="11"/>
  <c r="AR368" i="11"/>
  <c r="AR369" i="11"/>
  <c r="AR370" i="11"/>
  <c r="AR371" i="11"/>
  <c r="AR372" i="11"/>
  <c r="AR373" i="11"/>
  <c r="AR374" i="11"/>
  <c r="AR375" i="11"/>
  <c r="AR376" i="11"/>
  <c r="AR377" i="11"/>
  <c r="AR378" i="11"/>
  <c r="AR379" i="11"/>
  <c r="AR380" i="11"/>
  <c r="AR381" i="11"/>
  <c r="AR382" i="11"/>
  <c r="AR383" i="11"/>
  <c r="AR384" i="11"/>
  <c r="AR385" i="11"/>
  <c r="AR386" i="11"/>
  <c r="AR387" i="11"/>
  <c r="AR388" i="11"/>
  <c r="AR389" i="11"/>
  <c r="AR390" i="11"/>
  <c r="AR391" i="11"/>
  <c r="AR392" i="11"/>
  <c r="AR393" i="11"/>
  <c r="AR394" i="11"/>
  <c r="AR395" i="11"/>
  <c r="AR396" i="11"/>
  <c r="AR397" i="11"/>
  <c r="AR398" i="11"/>
  <c r="AR399" i="11"/>
  <c r="AR400" i="11"/>
  <c r="AR401" i="11"/>
  <c r="AR402" i="11"/>
  <c r="AR403" i="11"/>
  <c r="AR404" i="11"/>
  <c r="AR405" i="11"/>
  <c r="AR406" i="11"/>
  <c r="AR407" i="11"/>
  <c r="AR408" i="11"/>
  <c r="AR409" i="11"/>
  <c r="AR410" i="11"/>
  <c r="AR411" i="11"/>
  <c r="AR412" i="11"/>
  <c r="AR413" i="11"/>
  <c r="AR414" i="11"/>
  <c r="AR415" i="11"/>
  <c r="AR416" i="11"/>
  <c r="AR417" i="11"/>
  <c r="AR418" i="11"/>
  <c r="AR419" i="11"/>
  <c r="AR420" i="11"/>
  <c r="AR421" i="11"/>
  <c r="AR422" i="11"/>
  <c r="AR423" i="11"/>
  <c r="AR424" i="11"/>
  <c r="AR425" i="11"/>
  <c r="AR426" i="11"/>
  <c r="AR427" i="11"/>
  <c r="AR428" i="11"/>
  <c r="AR429" i="11"/>
  <c r="AR430" i="11"/>
  <c r="AR431" i="11"/>
  <c r="AR432" i="11"/>
  <c r="AR433" i="11"/>
  <c r="AR434" i="11"/>
  <c r="AR435" i="11"/>
  <c r="AR436" i="11"/>
  <c r="AR437" i="11"/>
  <c r="AR438" i="11"/>
  <c r="AR439" i="11"/>
  <c r="AR440" i="11"/>
  <c r="AR441" i="11"/>
  <c r="AR442" i="11"/>
  <c r="AR443" i="11"/>
  <c r="AR444" i="11"/>
  <c r="A5" i="3"/>
  <c r="C11" i="3"/>
  <c r="D11" i="3"/>
  <c r="E11" i="3"/>
  <c r="F11" i="3"/>
  <c r="G11" i="3"/>
  <c r="H11"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C12" i="3"/>
  <c r="D12" i="3"/>
  <c r="E12" i="3"/>
  <c r="F12" i="3"/>
  <c r="G12" i="3"/>
  <c r="H12" i="3"/>
  <c r="C13" i="3"/>
  <c r="D13" i="3"/>
  <c r="E13" i="3"/>
  <c r="F13" i="3"/>
  <c r="G13" i="3"/>
  <c r="H13" i="3"/>
  <c r="C14" i="3"/>
  <c r="D14" i="3"/>
  <c r="E14" i="3"/>
  <c r="F14" i="3"/>
  <c r="G14" i="3"/>
  <c r="H14" i="3"/>
  <c r="C15" i="3"/>
  <c r="D15" i="3"/>
  <c r="E15" i="3"/>
  <c r="F15" i="3"/>
  <c r="G15" i="3"/>
  <c r="C16" i="3"/>
  <c r="D16" i="3"/>
  <c r="E16" i="3"/>
  <c r="F16" i="3"/>
  <c r="G16" i="3"/>
  <c r="C17" i="3"/>
  <c r="D17" i="3"/>
  <c r="E17" i="3"/>
  <c r="F17" i="3"/>
  <c r="G17" i="3"/>
  <c r="C18" i="3"/>
  <c r="D18" i="3"/>
  <c r="E18" i="3"/>
  <c r="F18" i="3"/>
  <c r="G18" i="3"/>
  <c r="C19" i="3"/>
  <c r="D19" i="3"/>
  <c r="E19" i="3"/>
  <c r="F19" i="3"/>
  <c r="G19" i="3"/>
  <c r="C20" i="3"/>
  <c r="D20" i="3"/>
  <c r="F20" i="3"/>
  <c r="G20" i="3"/>
  <c r="C21" i="3"/>
  <c r="D21" i="3"/>
  <c r="E21" i="3"/>
  <c r="F21" i="3"/>
  <c r="G21" i="3"/>
  <c r="C22" i="3"/>
  <c r="D22" i="3"/>
  <c r="E22" i="3"/>
  <c r="F22" i="3"/>
  <c r="G22" i="3"/>
  <c r="C23" i="3"/>
  <c r="D23" i="3"/>
  <c r="E23" i="3"/>
  <c r="F23" i="3"/>
  <c r="G23" i="3"/>
  <c r="C24" i="3"/>
  <c r="D24" i="3"/>
  <c r="E24" i="3"/>
  <c r="F24" i="3"/>
  <c r="G24" i="3"/>
  <c r="C25" i="3"/>
  <c r="D25" i="3"/>
  <c r="E25" i="3"/>
  <c r="F25" i="3"/>
  <c r="G25" i="3"/>
  <c r="C26" i="3"/>
  <c r="D26" i="3"/>
  <c r="E26" i="3"/>
  <c r="F26" i="3"/>
  <c r="G26" i="3"/>
  <c r="C27" i="3"/>
  <c r="D27" i="3"/>
  <c r="E27" i="3"/>
  <c r="F27" i="3"/>
  <c r="G27" i="3"/>
  <c r="C28" i="3"/>
  <c r="D28" i="3"/>
  <c r="E28" i="3"/>
  <c r="F28" i="3"/>
  <c r="G28" i="3"/>
  <c r="C29" i="3"/>
  <c r="D29" i="3"/>
  <c r="E29" i="3"/>
  <c r="F29" i="3"/>
  <c r="G29" i="3"/>
  <c r="C30" i="3"/>
  <c r="D30" i="3"/>
  <c r="E30" i="3"/>
  <c r="F30" i="3"/>
  <c r="G30" i="3"/>
  <c r="C31" i="3"/>
  <c r="D31" i="3"/>
  <c r="E31" i="3"/>
  <c r="F31" i="3"/>
  <c r="G31" i="3"/>
  <c r="C32" i="3"/>
  <c r="D32" i="3"/>
  <c r="E32" i="3"/>
  <c r="F32" i="3"/>
  <c r="G32" i="3"/>
  <c r="C33" i="3"/>
  <c r="D33" i="3"/>
  <c r="E33" i="3"/>
  <c r="F33" i="3"/>
  <c r="G33" i="3"/>
  <c r="C34" i="3"/>
  <c r="D34" i="3"/>
  <c r="E34" i="3"/>
  <c r="F34" i="3"/>
  <c r="G34" i="3"/>
  <c r="C35" i="3"/>
  <c r="D35" i="3"/>
  <c r="E35" i="3"/>
  <c r="F35" i="3"/>
  <c r="G35" i="3"/>
  <c r="C36" i="3"/>
  <c r="D36" i="3"/>
  <c r="E36" i="3"/>
  <c r="F36" i="3"/>
  <c r="G36" i="3"/>
  <c r="C37" i="3"/>
  <c r="D37" i="3"/>
  <c r="E37" i="3"/>
  <c r="F37" i="3"/>
  <c r="G37" i="3"/>
  <c r="C38" i="3"/>
  <c r="D38" i="3"/>
  <c r="E38" i="3"/>
  <c r="F38" i="3"/>
  <c r="G38" i="3"/>
  <c r="C39" i="3"/>
  <c r="D39" i="3"/>
  <c r="E39" i="3"/>
  <c r="F39" i="3"/>
  <c r="G39" i="3"/>
  <c r="C40" i="3"/>
  <c r="D40" i="3"/>
  <c r="E40" i="3"/>
  <c r="F40" i="3"/>
  <c r="G40" i="3"/>
  <c r="C41" i="3"/>
  <c r="D41" i="3"/>
  <c r="E41" i="3"/>
  <c r="F41" i="3"/>
  <c r="G41" i="3"/>
  <c r="C42" i="3"/>
  <c r="D42" i="3"/>
  <c r="E42" i="3"/>
  <c r="F42" i="3"/>
  <c r="G42" i="3"/>
  <c r="C43" i="3"/>
  <c r="D43" i="3"/>
  <c r="E43" i="3"/>
  <c r="F43" i="3"/>
  <c r="G43" i="3"/>
  <c r="C44" i="3"/>
  <c r="D44" i="3"/>
  <c r="E44" i="3"/>
  <c r="F44" i="3"/>
  <c r="G44" i="3"/>
  <c r="C45" i="3"/>
  <c r="D45" i="3"/>
  <c r="E45" i="3"/>
  <c r="F45" i="3"/>
  <c r="G45" i="3"/>
  <c r="C46" i="3"/>
  <c r="D46" i="3"/>
  <c r="E46" i="3"/>
  <c r="F46" i="3"/>
  <c r="G46" i="3"/>
  <c r="C47" i="3"/>
  <c r="D47" i="3"/>
  <c r="E47" i="3"/>
  <c r="F47" i="3"/>
  <c r="G47" i="3"/>
  <c r="C48" i="3"/>
  <c r="D48" i="3"/>
  <c r="E48" i="3"/>
  <c r="F48" i="3"/>
  <c r="G48" i="3"/>
  <c r="I49" i="3"/>
  <c r="J22" i="13" l="1"/>
  <c r="AA15" i="30" s="1"/>
  <c r="J40" i="13"/>
  <c r="AA33" i="30" s="1"/>
  <c r="H18" i="12"/>
  <c r="I18" i="12"/>
  <c r="J10" i="12"/>
  <c r="S3" i="30" s="1"/>
  <c r="J9" i="12"/>
  <c r="S2" i="30" s="1"/>
  <c r="J12" i="12"/>
  <c r="S5" i="30" s="1"/>
  <c r="J104" i="11"/>
  <c r="AF40" i="11"/>
  <c r="AF39" i="11"/>
  <c r="AD41" i="11"/>
  <c r="G54" i="11"/>
  <c r="J39" i="13"/>
  <c r="AA32" i="30" s="1"/>
  <c r="J38" i="13"/>
  <c r="AA31" i="30" s="1"/>
  <c r="J37" i="13"/>
  <c r="AA30" i="30" s="1"/>
  <c r="J36" i="13"/>
  <c r="AA29" i="30" s="1"/>
  <c r="J33" i="13"/>
  <c r="AA26" i="30" s="1"/>
  <c r="J32" i="13"/>
  <c r="AA25" i="30" s="1"/>
  <c r="J26" i="13"/>
  <c r="AA19" i="30" s="1"/>
  <c r="J24" i="13"/>
  <c r="AA17" i="30" s="1"/>
  <c r="J23" i="13"/>
  <c r="AA16" i="30" s="1"/>
  <c r="J9" i="13"/>
  <c r="AD39" i="11"/>
  <c r="AC39" i="11"/>
  <c r="J155" i="11"/>
  <c r="J205" i="11"/>
  <c r="J35" i="13"/>
  <c r="AA28" i="30" s="1"/>
  <c r="J31" i="13"/>
  <c r="AA24" i="30" s="1"/>
  <c r="J30" i="13"/>
  <c r="AA23" i="30" s="1"/>
  <c r="J29" i="13"/>
  <c r="AA22" i="30" s="1"/>
  <c r="J28" i="13"/>
  <c r="AA21" i="30" s="1"/>
  <c r="J27" i="13"/>
  <c r="AA20" i="30" s="1"/>
  <c r="I54" i="11"/>
  <c r="AE42" i="11"/>
  <c r="AE41" i="11"/>
  <c r="AE40" i="11"/>
  <c r="AE39" i="11"/>
  <c r="AN41" i="11"/>
  <c r="AN42" i="11"/>
  <c r="AN39" i="11"/>
  <c r="AC42" i="11"/>
  <c r="AC41" i="11"/>
  <c r="AC40" i="11"/>
  <c r="H155" i="11"/>
  <c r="AS65" i="11"/>
  <c r="J17" i="12"/>
  <c r="S10" i="30" s="1"/>
  <c r="J19" i="13"/>
  <c r="AA12" i="30" s="1"/>
  <c r="J18" i="13"/>
  <c r="AA11" i="30" s="1"/>
  <c r="J17" i="13"/>
  <c r="AA10" i="30" s="1"/>
  <c r="J16" i="13"/>
  <c r="AA9" i="30" s="1"/>
  <c r="J14" i="13"/>
  <c r="AA7" i="30" s="1"/>
  <c r="AK39" i="11"/>
  <c r="AK41" i="11"/>
  <c r="AK42" i="11"/>
  <c r="AK40" i="11"/>
  <c r="AM44" i="11"/>
  <c r="AM39" i="11"/>
  <c r="AJ39" i="11"/>
  <c r="AJ41" i="11"/>
  <c r="AJ42" i="11"/>
  <c r="AJ40" i="11"/>
  <c r="AG41" i="11"/>
  <c r="AG40" i="11"/>
  <c r="AG39" i="11"/>
  <c r="AG42" i="11"/>
  <c r="AL44" i="11"/>
  <c r="AL41" i="11"/>
  <c r="AL40" i="11"/>
  <c r="AL39" i="11"/>
  <c r="H255" i="11"/>
  <c r="AQ66" i="11"/>
  <c r="J12" i="13"/>
  <c r="AA5" i="30" s="1"/>
  <c r="J11" i="13"/>
  <c r="AA4" i="30" s="1"/>
  <c r="D49" i="3"/>
  <c r="H205" i="11"/>
  <c r="AM41" i="11"/>
  <c r="J14" i="12"/>
  <c r="S7" i="30" s="1"/>
  <c r="J11" i="12"/>
  <c r="S4" i="30" s="1"/>
  <c r="J10" i="13"/>
  <c r="AA3" i="30" s="1"/>
  <c r="J34" i="13"/>
  <c r="AA27" i="30" s="1"/>
  <c r="H41" i="13"/>
  <c r="J25" i="13"/>
  <c r="AA18" i="30" s="1"/>
  <c r="F49" i="3"/>
  <c r="J13" i="12"/>
  <c r="J15" i="13"/>
  <c r="AA8" i="30" s="1"/>
  <c r="J16" i="12"/>
  <c r="S9" i="30" s="1"/>
  <c r="J15" i="12"/>
  <c r="S8" i="30" s="1"/>
  <c r="AI42" i="11"/>
  <c r="AI40" i="11"/>
  <c r="AI41" i="11"/>
  <c r="AI39" i="11"/>
  <c r="AS444" i="11"/>
  <c r="J304" i="11"/>
  <c r="J204" i="11"/>
  <c r="J254" i="11"/>
  <c r="J354" i="11"/>
  <c r="J305" i="11"/>
  <c r="J255" i="11"/>
  <c r="I41" i="13"/>
  <c r="H49" i="3"/>
  <c r="AH44" i="11"/>
  <c r="AH41" i="11"/>
  <c r="AH40" i="11"/>
  <c r="AH39" i="11"/>
  <c r="AD44" i="11"/>
  <c r="AT60" i="11"/>
  <c r="AF41" i="11"/>
  <c r="AF42" i="11"/>
  <c r="AM42" i="11"/>
  <c r="AM40" i="11"/>
  <c r="AD40" i="11"/>
  <c r="H355" i="11"/>
  <c r="E356" i="11"/>
  <c r="E306" i="11"/>
  <c r="H305" i="11"/>
  <c r="E106" i="11"/>
  <c r="J105" i="11"/>
  <c r="E55" i="11"/>
  <c r="J20" i="13"/>
  <c r="AA13" i="30" s="1"/>
  <c r="J154" i="11"/>
  <c r="J355" i="11"/>
  <c r="H105" i="11"/>
  <c r="J13" i="13"/>
  <c r="AA6" i="30" s="1"/>
  <c r="J18" i="12" l="1"/>
  <c r="AA2" i="30"/>
  <c r="J46" i="13"/>
  <c r="I26" i="30" s="1"/>
  <c r="J45" i="13"/>
  <c r="S6" i="30"/>
  <c r="A38" i="30" s="1" a="1"/>
  <c r="A38" i="30" s="1"/>
  <c r="J22" i="12"/>
  <c r="M25" i="30" s="1"/>
  <c r="I19" i="12"/>
  <c r="AP57" i="11"/>
  <c r="AS66" i="11"/>
  <c r="AQ67" i="11"/>
  <c r="J47" i="13"/>
  <c r="E26" i="30" s="1"/>
  <c r="H50" i="3"/>
  <c r="J41" i="13"/>
  <c r="I42" i="13"/>
  <c r="J25" i="12"/>
  <c r="A25" i="30" s="1"/>
  <c r="J24" i="12"/>
  <c r="J48" i="13"/>
  <c r="A26" i="30" s="1"/>
  <c r="AP52" i="11"/>
  <c r="J23" i="12"/>
  <c r="I25" i="30" s="1"/>
  <c r="M34" i="30" l="1" a="1"/>
  <c r="M34" i="30" s="1"/>
  <c r="M35" i="30" a="1"/>
  <c r="M35" i="30" s="1"/>
  <c r="O50" i="30" a="1"/>
  <c r="O50" i="30" s="1"/>
  <c r="O32" i="30" a="1"/>
  <c r="O32" i="30" s="1"/>
  <c r="O34" i="30" a="1"/>
  <c r="O34" i="30" s="1"/>
  <c r="O36" i="30" a="1"/>
  <c r="O36" i="30" s="1"/>
  <c r="O38" i="30" a="1"/>
  <c r="O38" i="30" s="1"/>
  <c r="O40" i="30" a="1"/>
  <c r="O40" i="30" s="1"/>
  <c r="O42" i="30" a="1"/>
  <c r="O42" i="30" s="1"/>
  <c r="K33" i="30" a="1"/>
  <c r="K33" i="30" s="1"/>
  <c r="K35" i="30" a="1"/>
  <c r="K35" i="30" s="1"/>
  <c r="G36" i="30" a="1"/>
  <c r="G36" i="30" s="1"/>
  <c r="G39" i="30" a="1"/>
  <c r="G39" i="30" s="1"/>
  <c r="G44" i="30" a="1"/>
  <c r="G44" i="30" s="1"/>
  <c r="G47" i="30" a="1"/>
  <c r="G47" i="30" s="1"/>
  <c r="K32" i="30" a="1"/>
  <c r="K32" i="30" s="1"/>
  <c r="G35" i="30" a="1"/>
  <c r="G35" i="30" s="1"/>
  <c r="G43" i="30" a="1"/>
  <c r="G43" i="30" s="1"/>
  <c r="G33" i="30" a="1"/>
  <c r="G33" i="30" s="1"/>
  <c r="G46" i="30" a="1"/>
  <c r="G46" i="30" s="1"/>
  <c r="C36" i="30" a="1"/>
  <c r="C36" i="30" s="1"/>
  <c r="G34" i="30" a="1"/>
  <c r="G34" i="30" s="1"/>
  <c r="G37" i="30" a="1"/>
  <c r="G37" i="30" s="1"/>
  <c r="G42" i="30" a="1"/>
  <c r="G42" i="30" s="1"/>
  <c r="G45" i="30" a="1"/>
  <c r="G45" i="30" s="1"/>
  <c r="C35" i="30" a="1"/>
  <c r="C35" i="30" s="1"/>
  <c r="O33" i="30" a="1"/>
  <c r="O33" i="30" s="1"/>
  <c r="O35" i="30" a="1"/>
  <c r="O35" i="30" s="1"/>
  <c r="O37" i="30" a="1"/>
  <c r="O37" i="30" s="1"/>
  <c r="O39" i="30" a="1"/>
  <c r="O39" i="30" s="1"/>
  <c r="O41" i="30" a="1"/>
  <c r="O41" i="30" s="1"/>
  <c r="K34" i="30" a="1"/>
  <c r="K34" i="30" s="1"/>
  <c r="G32" i="30" a="1"/>
  <c r="G32" i="30" s="1"/>
  <c r="G40" i="30" a="1"/>
  <c r="G40" i="30" s="1"/>
  <c r="G48" i="30" a="1"/>
  <c r="G48" i="30" s="1"/>
  <c r="G38" i="30" a="1"/>
  <c r="G38" i="30" s="1"/>
  <c r="G41" i="30" a="1"/>
  <c r="G41" i="30" s="1"/>
  <c r="G49" i="30" a="1"/>
  <c r="G49" i="30" s="1"/>
  <c r="C33" i="30" a="1"/>
  <c r="C33" i="30" s="1"/>
  <c r="O46" i="30" a="1"/>
  <c r="O46" i="30" s="1"/>
  <c r="O48" i="30" a="1"/>
  <c r="O48" i="30" s="1"/>
  <c r="O55" i="30" a="1"/>
  <c r="O55" i="30" s="1"/>
  <c r="O47" i="30" a="1"/>
  <c r="O47" i="30" s="1"/>
  <c r="A37" i="30" a="1"/>
  <c r="A37" i="30" s="1"/>
  <c r="I35" i="30" a="1"/>
  <c r="I35" i="30" s="1"/>
  <c r="O45" i="30" a="1"/>
  <c r="O45" i="30" s="1"/>
  <c r="O43" i="30" a="1"/>
  <c r="O43" i="30" s="1"/>
  <c r="O44" i="30" a="1"/>
  <c r="O44" i="30" s="1"/>
  <c r="O49" i="30" a="1"/>
  <c r="O49" i="30" s="1"/>
  <c r="O54" i="30" a="1"/>
  <c r="O54" i="30" s="1"/>
  <c r="O51" i="30" a="1"/>
  <c r="O51" i="30" s="1"/>
  <c r="O53" i="30" a="1"/>
  <c r="O53" i="30" s="1"/>
  <c r="O52" i="30" a="1"/>
  <c r="O52" i="30" s="1"/>
  <c r="A35" i="30" a="1"/>
  <c r="A35" i="30" s="1"/>
  <c r="I40" i="30" a="1"/>
  <c r="I40" i="30" s="1"/>
  <c r="K22" i="30" a="1"/>
  <c r="K22" i="30" s="1"/>
  <c r="I48" i="30" a="1"/>
  <c r="I48" i="30" s="1"/>
  <c r="M37" i="30" a="1"/>
  <c r="M37" i="30" s="1"/>
  <c r="I39" i="30" a="1"/>
  <c r="I39" i="30" s="1"/>
  <c r="I53" i="30" a="1"/>
  <c r="I53" i="30" s="1"/>
  <c r="E31" i="30" a="1"/>
  <c r="E31" i="30" s="1"/>
  <c r="A34" i="30" a="1"/>
  <c r="A34" i="30" s="1"/>
  <c r="K27" i="30" a="1"/>
  <c r="K27" i="30" s="1"/>
  <c r="I61" i="30" a="1"/>
  <c r="I61" i="30" s="1"/>
  <c r="I41" i="30" a="1"/>
  <c r="I41" i="30" s="1"/>
  <c r="A36" i="30" a="1"/>
  <c r="A36" i="30" s="1"/>
  <c r="E34" i="30" a="1"/>
  <c r="E34" i="30" s="1"/>
  <c r="I46" i="30" a="1"/>
  <c r="I46" i="30" s="1"/>
  <c r="I37" i="30" a="1"/>
  <c r="I37" i="30" s="1"/>
  <c r="W11" i="30" a="1"/>
  <c r="W11" i="30" s="1"/>
  <c r="W25" i="30" s="1" a="1"/>
  <c r="W25" i="30" s="1"/>
  <c r="W16" i="30" a="1"/>
  <c r="W16" i="30" s="1"/>
  <c r="W5" i="30" a="1"/>
  <c r="W5" i="30" s="1"/>
  <c r="I34" i="30" a="1"/>
  <c r="I34" i="30" s="1"/>
  <c r="E40" i="30" a="1"/>
  <c r="E40" i="30" s="1"/>
  <c r="I33" i="30" a="1"/>
  <c r="I33" i="30" s="1"/>
  <c r="I49" i="30" a="1"/>
  <c r="I49" i="30" s="1"/>
  <c r="M39" i="30" a="1"/>
  <c r="M39" i="30" s="1"/>
  <c r="K18" i="30" a="1"/>
  <c r="K18" i="30" s="1"/>
  <c r="E39" i="30" a="1"/>
  <c r="E39" i="30" s="1"/>
  <c r="A32" i="30" a="1"/>
  <c r="A32" i="30" s="1"/>
  <c r="E41" i="30" a="1"/>
  <c r="E41" i="30" s="1"/>
  <c r="A31" i="30" a="1"/>
  <c r="A31" i="30" s="1"/>
  <c r="W9" i="30" a="1"/>
  <c r="W9" i="30" s="1"/>
  <c r="I44" i="30" a="1"/>
  <c r="I44" i="30" s="1"/>
  <c r="I45" i="30" a="1"/>
  <c r="I45" i="30" s="1"/>
  <c r="M31" i="30" a="1"/>
  <c r="M31" i="30" s="1"/>
  <c r="K19" i="30" a="1"/>
  <c r="K19" i="30" s="1"/>
  <c r="I31" i="30" a="1"/>
  <c r="I31" i="30" s="1"/>
  <c r="I36" i="30" a="1"/>
  <c r="I36" i="30" s="1"/>
  <c r="E32" i="30" a="1"/>
  <c r="E32" i="30" s="1"/>
  <c r="M38" i="30" a="1"/>
  <c r="M38" i="30" s="1"/>
  <c r="M42" i="30" a="1"/>
  <c r="M42" i="30" s="1"/>
  <c r="I60" i="30" a="1"/>
  <c r="I60" i="30" s="1"/>
  <c r="K21" i="30" a="1"/>
  <c r="K21" i="30" s="1"/>
  <c r="K20" i="30" a="1"/>
  <c r="K20" i="30" s="1"/>
  <c r="I58" i="30" a="1"/>
  <c r="I58" i="30" s="1"/>
  <c r="I59" i="30" a="1"/>
  <c r="I59" i="30" s="1"/>
  <c r="E36" i="30" a="1"/>
  <c r="E36" i="30" s="1"/>
  <c r="W8" i="30" a="1"/>
  <c r="W8" i="30" s="1"/>
  <c r="A40" i="30" a="1"/>
  <c r="A40" i="30" s="1"/>
  <c r="E38" i="30" a="1"/>
  <c r="E38" i="30" s="1"/>
  <c r="A39" i="30" a="1"/>
  <c r="A39" i="30" s="1"/>
  <c r="I57" i="30" a="1"/>
  <c r="I57" i="30" s="1"/>
  <c r="I32" i="30" a="1"/>
  <c r="I32" i="30" s="1"/>
  <c r="K23" i="30" a="1"/>
  <c r="K23" i="30" s="1"/>
  <c r="M33" i="30" a="1"/>
  <c r="M33" i="30" s="1"/>
  <c r="E35" i="30" a="1"/>
  <c r="E35" i="30" s="1"/>
  <c r="I47" i="30" a="1"/>
  <c r="I47" i="30" s="1"/>
  <c r="A33" i="30" a="1"/>
  <c r="A33" i="30" s="1"/>
  <c r="M36" i="30" a="1"/>
  <c r="M36" i="30" s="1"/>
  <c r="I51" i="30" a="1"/>
  <c r="I51" i="30" s="1"/>
  <c r="I42" i="30" a="1"/>
  <c r="I42" i="30" s="1"/>
  <c r="I54" i="30" a="1"/>
  <c r="I54" i="30" s="1"/>
  <c r="M32" i="30" a="1"/>
  <c r="M32" i="30" s="1"/>
  <c r="A41" i="30" a="1"/>
  <c r="A41" i="30" s="1"/>
  <c r="I52" i="30" a="1"/>
  <c r="I52" i="30" s="1"/>
  <c r="W15" i="30" a="1"/>
  <c r="W15" i="30" s="1"/>
  <c r="W2" i="30" a="1"/>
  <c r="W2" i="30" s="1"/>
  <c r="W12" i="30" a="1"/>
  <c r="W12" i="30" s="1"/>
  <c r="I43" i="30" a="1"/>
  <c r="I43" i="30" s="1"/>
  <c r="I38" i="30" a="1"/>
  <c r="I38" i="30" s="1"/>
  <c r="W13" i="30" a="1"/>
  <c r="W13" i="30" s="1"/>
  <c r="W14" i="30" a="1"/>
  <c r="W14" i="30" s="1"/>
  <c r="I50" i="30" a="1"/>
  <c r="I50" i="30" s="1"/>
  <c r="M41" i="30" a="1"/>
  <c r="M41" i="30" s="1"/>
  <c r="E33" i="30" a="1"/>
  <c r="E33" i="30" s="1"/>
  <c r="I56" i="30" a="1"/>
  <c r="I56" i="30" s="1"/>
  <c r="M40" i="30" a="1"/>
  <c r="M40" i="30" s="1"/>
  <c r="E37" i="30" a="1"/>
  <c r="E37" i="30" s="1"/>
  <c r="A24" i="30"/>
  <c r="AQ68" i="11"/>
  <c r="AS67" i="11"/>
  <c r="C32" i="30" a="1"/>
  <c r="C32" i="30" s="1"/>
  <c r="E24" i="30"/>
  <c r="E25" i="30"/>
  <c r="I24" i="30"/>
  <c r="J26" i="12"/>
  <c r="M26" i="30"/>
  <c r="J49" i="13"/>
  <c r="M24" i="30"/>
  <c r="K61" i="30" a="1"/>
  <c r="K61" i="30" s="1"/>
  <c r="AE5" i="30" a="1"/>
  <c r="AE5" i="30" s="1"/>
  <c r="C38" i="30" a="1"/>
  <c r="C38" i="30" s="1"/>
  <c r="K36" i="30" a="1"/>
  <c r="K36" i="30" s="1"/>
  <c r="O66" i="30" a="1"/>
  <c r="O66" i="30" s="1"/>
  <c r="AE14" i="30" a="1"/>
  <c r="AE14" i="30" s="1"/>
  <c r="O63" i="30" a="1"/>
  <c r="O63" i="30" s="1"/>
  <c r="C34" i="30" a="1"/>
  <c r="C34" i="30" s="1"/>
  <c r="C46" i="30" a="1"/>
  <c r="C46" i="30" s="1"/>
  <c r="G53" i="30" a="1"/>
  <c r="G53" i="30" s="1"/>
  <c r="K39" i="30" a="1"/>
  <c r="K39" i="30" s="1"/>
  <c r="K43" i="30" a="1"/>
  <c r="K43" i="30" s="1"/>
  <c r="C39" i="30" a="1"/>
  <c r="C39" i="30" s="1"/>
  <c r="AE8" i="30" a="1"/>
  <c r="AE8" i="30" s="1"/>
  <c r="C60" i="30" a="1"/>
  <c r="C60" i="30" s="1"/>
  <c r="K40" i="30" a="1"/>
  <c r="K40" i="30" s="1"/>
  <c r="AE2" i="30" a="1"/>
  <c r="AE2" i="30" s="1"/>
  <c r="G55" i="30" a="1"/>
  <c r="G55" i="30" s="1"/>
  <c r="O65" i="30" a="1"/>
  <c r="O65" i="30" s="1"/>
  <c r="K37" i="30" a="1"/>
  <c r="K37" i="30" s="1"/>
  <c r="G60" i="30" a="1"/>
  <c r="G60" i="30" s="1"/>
  <c r="C62" i="30" a="1"/>
  <c r="C62" i="30" s="1"/>
  <c r="C63" i="30" a="1"/>
  <c r="C63" i="30" s="1"/>
  <c r="C45" i="30" a="1"/>
  <c r="C45" i="30" s="1"/>
  <c r="K46" i="30" a="1"/>
  <c r="K46" i="30" s="1"/>
  <c r="C59" i="30" a="1"/>
  <c r="C59" i="30" s="1"/>
  <c r="G59" i="30" a="1"/>
  <c r="G59" i="30" s="1"/>
  <c r="C54" i="30" a="1"/>
  <c r="C54" i="30" s="1"/>
  <c r="C41" i="30" a="1"/>
  <c r="C41" i="30" s="1"/>
  <c r="C40" i="30" a="1"/>
  <c r="C40" i="30" s="1"/>
  <c r="C47" i="30" a="1"/>
  <c r="C47" i="30" s="1"/>
  <c r="K56" i="30" a="1"/>
  <c r="K56" i="30" s="1"/>
  <c r="C43" i="30" a="1"/>
  <c r="C43" i="30" s="1"/>
  <c r="K50" i="30" a="1"/>
  <c r="K50" i="30" s="1"/>
  <c r="K38" i="30" a="1"/>
  <c r="K38" i="30" s="1"/>
  <c r="K49" i="30" a="1"/>
  <c r="K49" i="30" s="1"/>
  <c r="K47" i="30" a="1"/>
  <c r="K47" i="30" s="1"/>
  <c r="O31" i="30" a="1"/>
  <c r="O31" i="30" s="1"/>
  <c r="C64" i="30" a="1"/>
  <c r="C64" i="30" s="1"/>
  <c r="G58" i="30" a="1"/>
  <c r="G58" i="30" s="1"/>
  <c r="C51" i="30" a="1"/>
  <c r="C51" i="30" s="1"/>
  <c r="K44" i="30" a="1"/>
  <c r="K44" i="30" s="1"/>
  <c r="K41" i="30" a="1"/>
  <c r="K41" i="30" s="1"/>
  <c r="G31" i="30" a="1"/>
  <c r="G31" i="30" s="1"/>
  <c r="K59" i="30" a="1"/>
  <c r="K59" i="30" s="1"/>
  <c r="G57" i="30" a="1"/>
  <c r="G57" i="30" s="1"/>
  <c r="C58" i="30" a="1"/>
  <c r="C58" i="30" s="1"/>
  <c r="C44" i="30" a="1"/>
  <c r="C44" i="30" s="1"/>
  <c r="C52" i="30" a="1"/>
  <c r="C52" i="30" s="1"/>
  <c r="K52" i="30" a="1"/>
  <c r="K52" i="30" s="1"/>
  <c r="G51" i="30" a="1"/>
  <c r="G51" i="30" s="1"/>
  <c r="K60" i="30" a="1"/>
  <c r="K60" i="30" s="1"/>
  <c r="AE11" i="30" a="1"/>
  <c r="AE11" i="30" s="1"/>
  <c r="C37" i="30" a="1"/>
  <c r="C37" i="30" s="1"/>
  <c r="K45" i="30" a="1"/>
  <c r="K45" i="30" s="1"/>
  <c r="C48" i="30" a="1"/>
  <c r="C48" i="30" s="1"/>
  <c r="K53" i="30" a="1"/>
  <c r="K53" i="30" s="1"/>
  <c r="C49" i="30" a="1"/>
  <c r="C49" i="30" s="1"/>
  <c r="K58" i="30" a="1"/>
  <c r="K58" i="30" s="1"/>
  <c r="C56" i="30" a="1"/>
  <c r="C56" i="30" s="1"/>
  <c r="O64" i="30" a="1"/>
  <c r="O64" i="30" s="1"/>
  <c r="AE15" i="30" a="1"/>
  <c r="AE15" i="30" s="1"/>
  <c r="C42" i="30" a="1"/>
  <c r="C42" i="30" s="1"/>
  <c r="K51" i="30" a="1"/>
  <c r="K51" i="30" s="1"/>
  <c r="C53" i="30" a="1"/>
  <c r="C53" i="30" s="1"/>
  <c r="C57" i="30" a="1"/>
  <c r="C57" i="30" s="1"/>
  <c r="K42" i="30" a="1"/>
  <c r="K42" i="30" s="1"/>
  <c r="AE16" i="30" a="1"/>
  <c r="AE16" i="30" s="1"/>
  <c r="K57" i="30" a="1"/>
  <c r="K57" i="30" s="1"/>
  <c r="K54" i="30" a="1"/>
  <c r="K54" i="30" s="1"/>
  <c r="C50" i="30" a="1"/>
  <c r="C50" i="30" s="1"/>
  <c r="C31" i="30" a="1"/>
  <c r="C31" i="30" s="1"/>
  <c r="K48" i="30" a="1"/>
  <c r="K48" i="30" s="1"/>
  <c r="G56" i="30" a="1"/>
  <c r="G56" i="30" s="1"/>
  <c r="K31" i="30" a="1"/>
  <c r="K31" i="30" s="1"/>
  <c r="G52" i="30" a="1"/>
  <c r="G52" i="30" s="1"/>
  <c r="G50" i="30" a="1"/>
  <c r="G50" i="30" s="1"/>
  <c r="AE13" i="30" a="1"/>
  <c r="AE13" i="30" s="1"/>
  <c r="C61" i="30" a="1"/>
  <c r="C61" i="30" s="1"/>
  <c r="W23" i="30" l="1" a="1"/>
  <c r="W23" i="30" s="1"/>
  <c r="W22" i="30" a="1"/>
  <c r="W22" i="30" s="1"/>
  <c r="W19" i="30" a="1"/>
  <c r="W19" i="30" s="1"/>
  <c r="W20" i="30" a="1"/>
  <c r="W20" i="30" s="1"/>
  <c r="W28" i="30" a="1"/>
  <c r="W28" i="30" s="1"/>
  <c r="W17" i="30" a="1"/>
  <c r="W17" i="30" s="1"/>
  <c r="W27" i="30" a="1"/>
  <c r="W27" i="30" s="1"/>
  <c r="W24" i="30" a="1"/>
  <c r="W24" i="30" s="1"/>
  <c r="W21" i="30" a="1"/>
  <c r="W21" i="30" s="1"/>
  <c r="W18" i="30" a="1"/>
  <c r="W18" i="30" s="1"/>
  <c r="W26" i="30" a="1"/>
  <c r="W26" i="30" s="1"/>
  <c r="AS68" i="11"/>
  <c r="AQ69" i="11"/>
  <c r="AQ70" i="11" l="1"/>
  <c r="AS69" i="11"/>
  <c r="AQ71" i="11" l="1"/>
  <c r="AS70" i="11"/>
  <c r="AQ72" i="11" l="1"/>
  <c r="AS71" i="11"/>
  <c r="AS72" i="11" l="1"/>
  <c r="AQ73" i="11"/>
  <c r="AQ74" i="11" l="1"/>
  <c r="AS73" i="11"/>
  <c r="AQ75" i="11" l="1"/>
  <c r="AS74" i="11"/>
  <c r="AQ76" i="11" l="1"/>
  <c r="AS75" i="11"/>
  <c r="AQ77" i="11" l="1"/>
  <c r="AS76" i="11"/>
  <c r="AQ78" i="11" l="1"/>
  <c r="AS77" i="11"/>
  <c r="AQ79" i="11" l="1"/>
  <c r="AS78" i="11"/>
  <c r="AQ80" i="11" l="1"/>
  <c r="AS79" i="11"/>
  <c r="AS80" i="11" l="1"/>
  <c r="AQ81" i="11"/>
  <c r="AQ82" i="11" l="1"/>
  <c r="AS81" i="11"/>
  <c r="AS82" i="11" l="1"/>
  <c r="AQ83" i="11"/>
  <c r="AQ84" i="11" l="1"/>
  <c r="AS83" i="11"/>
  <c r="AS84" i="11" l="1"/>
  <c r="AQ85" i="11"/>
  <c r="AQ86" i="11" l="1"/>
  <c r="AS85" i="11"/>
  <c r="AQ87" i="11" l="1"/>
  <c r="AS86" i="11"/>
  <c r="AS87" i="11" l="1"/>
  <c r="AQ88" i="11"/>
  <c r="AQ89" i="11" l="1"/>
  <c r="AS88" i="11"/>
  <c r="AQ90" i="11" l="1"/>
  <c r="AS89" i="11"/>
  <c r="AS90" i="11" l="1"/>
  <c r="AQ91" i="11"/>
  <c r="AQ92" i="11" l="1"/>
  <c r="AS91" i="11"/>
  <c r="AQ93" i="11" l="1"/>
  <c r="AS92" i="11"/>
  <c r="AS93" i="11" l="1"/>
  <c r="AQ94" i="11"/>
  <c r="AQ95" i="11" l="1"/>
  <c r="AS94" i="11"/>
  <c r="AQ96" i="11" l="1"/>
  <c r="AS95" i="11"/>
  <c r="AQ97" i="11" l="1"/>
  <c r="AS96" i="11"/>
  <c r="AS97" i="11" l="1"/>
  <c r="AQ98" i="11"/>
  <c r="AQ99" i="11" l="1"/>
  <c r="AS98" i="11"/>
  <c r="AQ100" i="11" l="1"/>
  <c r="AS99" i="11"/>
  <c r="AQ101" i="11" l="1"/>
  <c r="AS100" i="11"/>
  <c r="AS101" i="11" l="1"/>
  <c r="AQ102" i="11"/>
  <c r="AS102" i="11" l="1"/>
  <c r="AQ106" i="11"/>
  <c r="AQ107" i="11" l="1"/>
  <c r="AS106" i="11"/>
  <c r="AQ108" i="11" l="1"/>
  <c r="AS107" i="11"/>
  <c r="AQ109" i="11" l="1"/>
  <c r="AS108" i="11"/>
  <c r="AS109" i="11" l="1"/>
  <c r="AQ110" i="11"/>
  <c r="AQ111" i="11" l="1"/>
  <c r="AS110" i="11"/>
  <c r="AQ112" i="11" l="1"/>
  <c r="AS111" i="11"/>
  <c r="AS112" i="11" l="1"/>
  <c r="AQ113" i="11"/>
  <c r="AS113" i="11" l="1"/>
  <c r="AQ114" i="11"/>
  <c r="AQ115" i="11" l="1"/>
  <c r="AS114" i="11"/>
  <c r="AQ116" i="11" l="1"/>
  <c r="AS115" i="11"/>
  <c r="AQ117" i="11" l="1"/>
  <c r="AS116" i="11"/>
  <c r="AQ118" i="11" l="1"/>
  <c r="AS117" i="11"/>
  <c r="AQ119" i="11" l="1"/>
  <c r="AS118" i="11"/>
  <c r="AQ120" i="11" l="1"/>
  <c r="AS119" i="11"/>
  <c r="AQ121" i="11" l="1"/>
  <c r="AS120" i="11"/>
  <c r="AQ122" i="11" l="1"/>
  <c r="AS121" i="11"/>
  <c r="AS122" i="11" l="1"/>
  <c r="AQ123" i="11"/>
  <c r="AQ124" i="11" l="1"/>
  <c r="AS123" i="11"/>
  <c r="AQ125" i="11" l="1"/>
  <c r="AS124" i="11"/>
  <c r="AS125" i="11" l="1"/>
  <c r="AQ126" i="11"/>
  <c r="AQ127" i="11" l="1"/>
  <c r="AS126" i="11"/>
  <c r="AQ128" i="11" l="1"/>
  <c r="AS127" i="11"/>
  <c r="AQ129" i="11" l="1"/>
  <c r="AS128" i="11"/>
  <c r="AS129" i="11" l="1"/>
  <c r="AQ130" i="11"/>
  <c r="AS130" i="11" l="1"/>
  <c r="AQ131" i="11"/>
  <c r="AQ132" i="11" l="1"/>
  <c r="AS131" i="11"/>
  <c r="AS132" i="11" l="1"/>
  <c r="AQ133" i="11"/>
  <c r="AQ134" i="11" l="1"/>
  <c r="AS133" i="11"/>
  <c r="AQ135" i="11" l="1"/>
  <c r="AS134" i="11"/>
  <c r="AQ136" i="11" l="1"/>
  <c r="AS135" i="11"/>
  <c r="AQ137" i="11" l="1"/>
  <c r="AS136" i="11"/>
  <c r="AQ138" i="11" l="1"/>
  <c r="AS137" i="11"/>
  <c r="AQ139" i="11" l="1"/>
  <c r="AS138" i="11"/>
  <c r="AQ140" i="11" l="1"/>
  <c r="AS139" i="11"/>
  <c r="AQ141" i="11" l="1"/>
  <c r="AS140" i="11"/>
  <c r="AQ142" i="11" l="1"/>
  <c r="AS141" i="11"/>
  <c r="AS142" i="11" l="1"/>
  <c r="AQ143" i="11"/>
  <c r="AS143" i="11" l="1"/>
  <c r="AQ144" i="11"/>
  <c r="AQ145" i="11" l="1"/>
  <c r="AS144" i="11"/>
  <c r="AS145" i="11" l="1"/>
  <c r="AQ146" i="11"/>
  <c r="AS146" i="11" l="1"/>
  <c r="AQ147" i="11"/>
  <c r="AQ148" i="11" l="1"/>
  <c r="AS147" i="11"/>
  <c r="AQ149" i="11" l="1"/>
  <c r="AS148" i="11"/>
  <c r="AQ150" i="11" l="1"/>
  <c r="AS149" i="11"/>
  <c r="AS150" i="11" l="1"/>
  <c r="AQ151" i="11"/>
  <c r="AQ152" i="11" l="1"/>
  <c r="AS151" i="11"/>
  <c r="AQ156" i="11" l="1"/>
  <c r="AS152" i="11"/>
  <c r="AQ157" i="11" l="1"/>
  <c r="AS156" i="11"/>
  <c r="AQ158" i="11" l="1"/>
  <c r="AS157" i="11"/>
  <c r="AQ159" i="11" l="1"/>
  <c r="AS158" i="11"/>
  <c r="AS159" i="11" l="1"/>
  <c r="AQ160" i="11"/>
  <c r="AQ161" i="11" l="1"/>
  <c r="AS160" i="11"/>
  <c r="AQ162" i="11" l="1"/>
  <c r="AS161" i="11"/>
  <c r="AS162" i="11" l="1"/>
  <c r="AQ163" i="11"/>
  <c r="AS163" i="11" l="1"/>
  <c r="AQ164" i="11"/>
  <c r="AS164" i="11" l="1"/>
  <c r="AQ165" i="11"/>
  <c r="AQ166" i="11" l="1"/>
  <c r="AS165" i="11"/>
  <c r="AS166" i="11" l="1"/>
  <c r="AQ167" i="11"/>
  <c r="AQ168" i="11" l="1"/>
  <c r="AS167" i="11"/>
  <c r="AQ169" i="11" l="1"/>
  <c r="AS168" i="11"/>
  <c r="AS169" i="11" l="1"/>
  <c r="AQ170" i="11"/>
  <c r="AS170" i="11" l="1"/>
  <c r="AQ171" i="11"/>
  <c r="AS171" i="11" l="1"/>
  <c r="AQ172" i="11"/>
  <c r="AS172" i="11" l="1"/>
  <c r="AQ173" i="11"/>
  <c r="AS173" i="11" l="1"/>
  <c r="AQ174" i="11"/>
  <c r="AS174" i="11" l="1"/>
  <c r="AQ175" i="11"/>
  <c r="AQ176" i="11" l="1"/>
  <c r="AS175" i="11"/>
  <c r="AS176" i="11" l="1"/>
  <c r="AQ177" i="11"/>
  <c r="AQ178" i="11" l="1"/>
  <c r="AS177" i="11"/>
  <c r="AQ179" i="11" l="1"/>
  <c r="AS178" i="11"/>
  <c r="AS179" i="11" l="1"/>
  <c r="AQ180" i="11"/>
  <c r="AS180" i="11" l="1"/>
  <c r="AQ181" i="11"/>
  <c r="AQ182" i="11" l="1"/>
  <c r="AS181" i="11"/>
  <c r="AQ183" i="11" l="1"/>
  <c r="AS182" i="11"/>
  <c r="AQ184" i="11" l="1"/>
  <c r="AS183" i="11"/>
  <c r="AQ185" i="11" l="1"/>
  <c r="AS184" i="11"/>
  <c r="AS185" i="11" l="1"/>
  <c r="AQ186" i="11"/>
  <c r="AQ187" i="11" l="1"/>
  <c r="AS186" i="11"/>
  <c r="AQ188" i="11" l="1"/>
  <c r="AS187" i="11"/>
  <c r="AQ189" i="11" l="1"/>
  <c r="AS188" i="11"/>
  <c r="AS189" i="11" l="1"/>
  <c r="AQ190" i="11"/>
  <c r="AQ191" i="11" l="1"/>
  <c r="AS190" i="11"/>
  <c r="AQ192" i="11" l="1"/>
  <c r="AS191" i="11"/>
  <c r="AQ193" i="11" l="1"/>
  <c r="AS192" i="11"/>
  <c r="AQ194" i="11" l="1"/>
  <c r="AS193" i="11"/>
  <c r="AQ195" i="11" l="1"/>
  <c r="AS194" i="11"/>
  <c r="AQ196" i="11" l="1"/>
  <c r="AS195" i="11"/>
  <c r="AQ197" i="11" l="1"/>
  <c r="AS196" i="11"/>
  <c r="AS197" i="11" l="1"/>
  <c r="AQ198" i="11"/>
  <c r="AQ199" i="11" l="1"/>
  <c r="AS198" i="11"/>
  <c r="AS199" i="11" l="1"/>
  <c r="AQ200" i="11"/>
  <c r="AS200" i="11" l="1"/>
  <c r="AQ201" i="11"/>
  <c r="AS201" i="11" l="1"/>
  <c r="AQ202" i="11"/>
  <c r="AS202" i="11" l="1"/>
  <c r="AQ206" i="11"/>
  <c r="AS206" i="11" l="1"/>
  <c r="AQ207" i="11"/>
  <c r="AQ208" i="11" l="1"/>
  <c r="AS207" i="11"/>
  <c r="AQ209" i="11" l="1"/>
  <c r="AS208" i="11"/>
  <c r="AQ210" i="11" l="1"/>
  <c r="AS209" i="11"/>
  <c r="AS210" i="11" l="1"/>
  <c r="AQ211" i="11"/>
  <c r="AQ212" i="11" l="1"/>
  <c r="AS211" i="11"/>
  <c r="AQ213" i="11" l="1"/>
  <c r="AS212" i="11"/>
  <c r="AS213" i="11" l="1"/>
  <c r="AQ214" i="11"/>
  <c r="AS214" i="11" l="1"/>
  <c r="AQ215" i="11"/>
  <c r="AQ216" i="11" l="1"/>
  <c r="AS215" i="11"/>
  <c r="AQ217" i="11" l="1"/>
  <c r="AS216" i="11"/>
  <c r="AS217" i="11" l="1"/>
  <c r="AQ218" i="11"/>
  <c r="AQ219" i="11" l="1"/>
  <c r="AS218" i="11"/>
  <c r="AS219" i="11" l="1"/>
  <c r="AQ220" i="11"/>
  <c r="AQ221" i="11" l="1"/>
  <c r="AS220" i="11"/>
  <c r="AS221" i="11" l="1"/>
  <c r="AQ222" i="11"/>
  <c r="AS222" i="11" l="1"/>
  <c r="AQ223" i="11"/>
  <c r="AQ224" i="11" l="1"/>
  <c r="AS223" i="11"/>
  <c r="AQ225" i="11" l="1"/>
  <c r="AS224" i="11"/>
  <c r="AS225" i="11" l="1"/>
  <c r="AQ226" i="11"/>
  <c r="AS226" i="11" l="1"/>
  <c r="AQ227" i="11"/>
  <c r="AQ228" i="11" l="1"/>
  <c r="AS227" i="11"/>
  <c r="AQ229" i="11" l="1"/>
  <c r="AS228" i="11"/>
  <c r="AS229" i="11" l="1"/>
  <c r="AQ230" i="11"/>
  <c r="AS230" i="11" l="1"/>
  <c r="AQ231" i="11"/>
  <c r="AS231" i="11" l="1"/>
  <c r="AQ232" i="11"/>
  <c r="AQ233" i="11" l="1"/>
  <c r="AS232" i="11"/>
  <c r="AS233" i="11" l="1"/>
  <c r="AQ234" i="11"/>
  <c r="AS234" i="11" l="1"/>
  <c r="AQ235" i="11"/>
  <c r="AS235" i="11" l="1"/>
  <c r="AQ236" i="11"/>
  <c r="AQ237" i="11" l="1"/>
  <c r="AS236" i="11"/>
  <c r="AS237" i="11" l="1"/>
  <c r="AQ238" i="11"/>
  <c r="AS238" i="11" l="1"/>
  <c r="AQ239" i="11"/>
  <c r="AS239" i="11" l="1"/>
  <c r="AQ240" i="11"/>
  <c r="AQ241" i="11" l="1"/>
  <c r="AS240" i="11"/>
  <c r="AS241" i="11" l="1"/>
  <c r="AQ242" i="11"/>
  <c r="AS242" i="11" l="1"/>
  <c r="AQ243" i="11"/>
  <c r="AS243" i="11" l="1"/>
  <c r="AQ244" i="11"/>
  <c r="AQ245" i="11" l="1"/>
  <c r="AS244" i="11"/>
  <c r="AS245" i="11" l="1"/>
  <c r="AQ246" i="11"/>
  <c r="AS246" i="11" l="1"/>
  <c r="AQ247" i="11"/>
  <c r="AS247" i="11" l="1"/>
  <c r="AQ248" i="11"/>
  <c r="AS248" i="11" l="1"/>
  <c r="AQ249" i="11"/>
  <c r="AS249" i="11" l="1"/>
  <c r="AQ250" i="11"/>
  <c r="AQ251" i="11" l="1"/>
  <c r="AS250" i="11"/>
  <c r="AQ252" i="11" l="1"/>
  <c r="AS251" i="11"/>
  <c r="AS252" i="11" l="1"/>
  <c r="AQ256" i="11"/>
  <c r="AQ257" i="11" l="1"/>
  <c r="AS256" i="11"/>
  <c r="AQ258" i="11" l="1"/>
  <c r="AS257" i="11"/>
  <c r="AS258" i="11" l="1"/>
  <c r="AQ259" i="11"/>
  <c r="AQ260" i="11" l="1"/>
  <c r="AS259" i="11"/>
  <c r="AQ261" i="11" l="1"/>
  <c r="AS260" i="11"/>
  <c r="AQ262" i="11" l="1"/>
  <c r="AS261" i="11"/>
  <c r="AQ263" i="11" l="1"/>
  <c r="AS262" i="11"/>
  <c r="AS263" i="11" l="1"/>
  <c r="AQ264" i="11"/>
  <c r="AQ265" i="11" l="1"/>
  <c r="AS264" i="11"/>
  <c r="AQ266" i="11" l="1"/>
  <c r="AS265" i="11"/>
  <c r="AQ267" i="11" l="1"/>
  <c r="AS266" i="11"/>
  <c r="AS267" i="11" l="1"/>
  <c r="AQ268" i="11"/>
  <c r="AQ269" i="11" l="1"/>
  <c r="AS268" i="11"/>
  <c r="AQ270" i="11" l="1"/>
  <c r="AS269" i="11"/>
  <c r="AQ271" i="11" l="1"/>
  <c r="AS270" i="11"/>
  <c r="AQ272" i="11" l="1"/>
  <c r="AS271" i="11"/>
  <c r="AQ273" i="11" l="1"/>
  <c r="AS272" i="11"/>
  <c r="AQ274" i="11" l="1"/>
  <c r="AS273" i="11"/>
  <c r="AQ275" i="11" l="1"/>
  <c r="AS274" i="11"/>
  <c r="AQ276" i="11" l="1"/>
  <c r="AS275" i="11"/>
  <c r="AQ277" i="11" l="1"/>
  <c r="AS276" i="11"/>
  <c r="AQ278" i="11" l="1"/>
  <c r="AS277" i="11"/>
  <c r="AQ279" i="11" l="1"/>
  <c r="AS278" i="11"/>
  <c r="AQ280" i="11" l="1"/>
  <c r="AS279" i="11"/>
  <c r="AS280" i="11" l="1"/>
  <c r="AQ281" i="11"/>
  <c r="AQ282" i="11" l="1"/>
  <c r="AS281" i="11"/>
  <c r="AQ283" i="11" l="1"/>
  <c r="AS282" i="11"/>
  <c r="AQ284" i="11" l="1"/>
  <c r="AS283" i="11"/>
  <c r="AS284" i="11" l="1"/>
  <c r="AQ285" i="11"/>
  <c r="AS285" i="11" l="1"/>
  <c r="AQ286" i="11"/>
  <c r="AQ287" i="11" l="1"/>
  <c r="AS286" i="11"/>
  <c r="AQ288" i="11" l="1"/>
  <c r="AS287" i="11"/>
  <c r="AS288" i="11" l="1"/>
  <c r="AQ289" i="11"/>
  <c r="AQ290" i="11" l="1"/>
  <c r="AS289" i="11"/>
  <c r="AQ291" i="11" l="1"/>
  <c r="AS290" i="11"/>
  <c r="AQ292" i="11" l="1"/>
  <c r="AS291" i="11"/>
  <c r="AS292" i="11" l="1"/>
  <c r="AQ293" i="11"/>
  <c r="AQ294" i="11" l="1"/>
  <c r="AS293" i="11"/>
  <c r="AQ295" i="11" l="1"/>
  <c r="AS294" i="11"/>
  <c r="AQ296" i="11" l="1"/>
  <c r="AS295" i="11"/>
  <c r="AQ297" i="11" l="1"/>
  <c r="AS296" i="11"/>
  <c r="AQ298" i="11" l="1"/>
  <c r="AS297" i="11"/>
  <c r="AQ299" i="11" l="1"/>
  <c r="AS298" i="11"/>
  <c r="AQ300" i="11" l="1"/>
  <c r="AS299" i="11"/>
  <c r="AQ301" i="11" l="1"/>
  <c r="AS300" i="11"/>
  <c r="AQ302" i="11" l="1"/>
  <c r="AS301" i="11"/>
  <c r="AS302" i="11" l="1"/>
  <c r="AQ306" i="11"/>
  <c r="AQ307" i="11" l="1"/>
  <c r="AS306" i="11"/>
  <c r="AS307" i="11" l="1"/>
  <c r="AQ308" i="11"/>
  <c r="AQ309" i="11" l="1"/>
  <c r="AS308" i="11"/>
  <c r="AS309" i="11" l="1"/>
  <c r="AQ310" i="11"/>
  <c r="AQ311" i="11" l="1"/>
  <c r="AS310" i="11"/>
  <c r="AS311" i="11" l="1"/>
  <c r="AQ312" i="11"/>
  <c r="AQ313" i="11" l="1"/>
  <c r="AS312" i="11"/>
  <c r="AS313" i="11" l="1"/>
  <c r="AQ314" i="11"/>
  <c r="AS314" i="11" l="1"/>
  <c r="AQ315" i="11"/>
  <c r="AQ316" i="11" l="1"/>
  <c r="AS315" i="11"/>
  <c r="AQ317" i="11" l="1"/>
  <c r="AS316" i="11"/>
  <c r="AQ318" i="11" l="1"/>
  <c r="AS317" i="11"/>
  <c r="AS318" i="11" l="1"/>
  <c r="AQ319" i="11"/>
  <c r="AS319" i="11" l="1"/>
  <c r="AQ320" i="11"/>
  <c r="AS320" i="11" l="1"/>
  <c r="AQ321" i="11"/>
  <c r="AQ322" i="11" l="1"/>
  <c r="AS321" i="11"/>
  <c r="AS322" i="11" l="1"/>
  <c r="AQ323" i="11"/>
  <c r="AQ324" i="11" l="1"/>
  <c r="AS323" i="11"/>
  <c r="AQ325" i="11" l="1"/>
  <c r="AS324" i="11"/>
  <c r="AQ326" i="11" l="1"/>
  <c r="AS325" i="11"/>
  <c r="AQ327" i="11" l="1"/>
  <c r="AS326" i="11"/>
  <c r="AS327" i="11" l="1"/>
  <c r="AQ328" i="11"/>
  <c r="AQ329" i="11" l="1"/>
  <c r="AS328" i="11"/>
  <c r="AQ330" i="11" l="1"/>
  <c r="AS329" i="11"/>
  <c r="AQ331" i="11" l="1"/>
  <c r="AS330" i="11"/>
  <c r="AQ332" i="11" l="1"/>
  <c r="AS331" i="11"/>
  <c r="AQ333" i="11" l="1"/>
  <c r="AS332" i="11"/>
  <c r="AQ334" i="11" l="1"/>
  <c r="AS333" i="11"/>
  <c r="AQ335" i="11" l="1"/>
  <c r="AS334" i="11"/>
  <c r="AQ336" i="11" l="1"/>
  <c r="AS335" i="11"/>
  <c r="AQ337" i="11" l="1"/>
  <c r="AS336" i="11"/>
  <c r="AS337" i="11" l="1"/>
  <c r="AQ338" i="11"/>
  <c r="AQ339" i="11" l="1"/>
  <c r="AS338" i="11"/>
  <c r="AS339" i="11" l="1"/>
  <c r="AQ340" i="11"/>
  <c r="AS340" i="11" l="1"/>
  <c r="AQ341" i="11"/>
  <c r="AQ342" i="11" l="1"/>
  <c r="AS341" i="11"/>
  <c r="AQ343" i="11" l="1"/>
  <c r="AS342" i="11"/>
  <c r="AS343" i="11" l="1"/>
  <c r="AQ344" i="11"/>
  <c r="AQ345" i="11" l="1"/>
  <c r="AS344" i="11"/>
  <c r="AQ346" i="11" l="1"/>
  <c r="AS345" i="11"/>
  <c r="AQ347" i="11" l="1"/>
  <c r="AS346" i="11"/>
  <c r="AS347" i="11" l="1"/>
  <c r="AQ348" i="11"/>
  <c r="AS348" i="11" l="1"/>
  <c r="AQ349" i="11"/>
  <c r="AQ350" i="11" l="1"/>
  <c r="AS349" i="11"/>
  <c r="AS350" i="11" l="1"/>
  <c r="AQ351" i="11"/>
  <c r="AS351" i="11" l="1"/>
  <c r="AQ352" i="11"/>
  <c r="AS352" i="11" l="1"/>
  <c r="AQ353" i="11"/>
  <c r="AS353" i="11" l="1"/>
  <c r="AQ354" i="11"/>
  <c r="AQ355" i="11" l="1"/>
  <c r="AS354" i="11"/>
  <c r="AQ356" i="11" l="1"/>
  <c r="AS355" i="11"/>
  <c r="AQ357" i="11" l="1"/>
  <c r="AS356" i="11"/>
  <c r="AQ358" i="11" l="1"/>
  <c r="AS357" i="11"/>
  <c r="AQ359" i="11" l="1"/>
  <c r="AS358" i="11"/>
  <c r="AQ360" i="11" l="1"/>
  <c r="AS359" i="11"/>
  <c r="AQ361" i="11" l="1"/>
  <c r="AS360" i="11"/>
  <c r="AS361" i="11" l="1"/>
  <c r="AQ362" i="11"/>
  <c r="AQ363" i="11" l="1"/>
  <c r="AS362" i="11"/>
  <c r="AS363" i="11" l="1"/>
  <c r="AQ364" i="11"/>
  <c r="AQ365" i="11" l="1"/>
  <c r="AS364" i="11"/>
  <c r="AQ366" i="11" l="1"/>
  <c r="AS365" i="11"/>
  <c r="AS366" i="11" l="1"/>
  <c r="AQ367" i="11"/>
  <c r="AS367" i="11" l="1"/>
  <c r="AQ368" i="11"/>
  <c r="AQ369" i="11" l="1"/>
  <c r="AS368" i="11"/>
  <c r="AQ370" i="11" l="1"/>
  <c r="AS369" i="11"/>
  <c r="AS370" i="11" l="1"/>
  <c r="AQ371" i="11"/>
  <c r="AQ372" i="11" l="1"/>
  <c r="AS371" i="11"/>
  <c r="AQ373" i="11" l="1"/>
  <c r="AS372" i="11"/>
  <c r="AQ374" i="11" l="1"/>
  <c r="AS373" i="11"/>
  <c r="AQ375" i="11" l="1"/>
  <c r="AS374" i="11"/>
  <c r="AS375" i="11" l="1"/>
  <c r="AQ376" i="11"/>
  <c r="AQ377" i="11" l="1"/>
  <c r="AS376" i="11"/>
  <c r="AQ378" i="11" l="1"/>
  <c r="AS377" i="11"/>
  <c r="AS378" i="11" l="1"/>
  <c r="AQ379" i="11"/>
  <c r="AQ380" i="11" l="1"/>
  <c r="AS379" i="11"/>
  <c r="AQ381" i="11" l="1"/>
  <c r="AS380" i="11"/>
  <c r="AQ382" i="11" l="1"/>
  <c r="AS381" i="11"/>
  <c r="AS382" i="11" l="1"/>
  <c r="AQ383" i="11"/>
  <c r="AS383" i="11" l="1"/>
  <c r="AQ384" i="11"/>
  <c r="AQ385" i="11" l="1"/>
  <c r="AS384" i="11"/>
  <c r="AQ386" i="11" l="1"/>
  <c r="AS385" i="11"/>
  <c r="AS386" i="11" l="1"/>
  <c r="AQ387" i="11"/>
  <c r="AQ388" i="11" l="1"/>
  <c r="AS387" i="11"/>
  <c r="AQ389" i="11" l="1"/>
  <c r="AS388" i="11"/>
  <c r="AQ390" i="11" l="1"/>
  <c r="AS389" i="11"/>
  <c r="AS390" i="11" l="1"/>
  <c r="AQ391" i="11"/>
  <c r="AS391" i="11" l="1"/>
  <c r="AQ392" i="11"/>
  <c r="AQ393" i="11" l="1"/>
  <c r="AS392" i="11"/>
  <c r="AQ394" i="11" l="1"/>
  <c r="AS393" i="11"/>
  <c r="AS394" i="11" l="1"/>
  <c r="AQ395" i="11"/>
  <c r="AQ396" i="11" l="1"/>
  <c r="AS395" i="11"/>
  <c r="AQ397" i="11" l="1"/>
  <c r="AS396" i="11"/>
  <c r="AQ398" i="11" l="1"/>
  <c r="AS397" i="11"/>
  <c r="AS398" i="11" l="1"/>
  <c r="AQ399" i="11"/>
  <c r="AS399" i="11" l="1"/>
  <c r="AQ400" i="11"/>
  <c r="AQ401" i="11" l="1"/>
  <c r="AS400" i="11"/>
  <c r="AQ402" i="11" l="1"/>
  <c r="AS401" i="11"/>
  <c r="AQ403" i="11" l="1"/>
  <c r="AS402" i="11"/>
  <c r="AS403" i="11" l="1"/>
  <c r="AQ404" i="11"/>
  <c r="AQ405" i="11" l="1"/>
  <c r="AS404" i="11"/>
  <c r="AQ406" i="11" l="1"/>
  <c r="AS405" i="11"/>
  <c r="AQ407" i="11" l="1"/>
  <c r="AS406" i="11"/>
  <c r="AS407" i="11" l="1"/>
  <c r="AQ408" i="11"/>
  <c r="AQ409" i="11" l="1"/>
  <c r="AS408" i="11"/>
  <c r="AQ410" i="11" l="1"/>
  <c r="AS409" i="11"/>
  <c r="AQ411" i="11" l="1"/>
  <c r="AS410" i="11"/>
  <c r="AS411" i="11" l="1"/>
  <c r="AQ412" i="11"/>
  <c r="AQ413" i="11" l="1"/>
  <c r="AS412" i="11"/>
  <c r="AQ414" i="11" l="1"/>
  <c r="AS413" i="11"/>
  <c r="AQ415" i="11" l="1"/>
  <c r="AS414" i="11"/>
  <c r="AS415" i="11" l="1"/>
  <c r="AQ416" i="11"/>
  <c r="AQ417" i="11" l="1"/>
  <c r="AS416" i="11"/>
  <c r="AQ418" i="11" l="1"/>
  <c r="AS417" i="11"/>
  <c r="AQ419" i="11" l="1"/>
  <c r="AS418" i="11"/>
  <c r="AS419" i="11" l="1"/>
  <c r="AQ420" i="11"/>
  <c r="AS420" i="11" l="1"/>
  <c r="AQ421" i="11"/>
  <c r="AQ422" i="11" l="1"/>
  <c r="AS421" i="11"/>
  <c r="AS422" i="11" l="1"/>
  <c r="AQ423" i="11"/>
  <c r="AS423" i="11" l="1"/>
  <c r="AQ424" i="11"/>
  <c r="AQ425" i="11" l="1"/>
  <c r="AS424" i="11"/>
  <c r="AQ426" i="11" l="1"/>
  <c r="AS425" i="11"/>
  <c r="AS426" i="11" l="1"/>
  <c r="AQ427" i="11"/>
  <c r="AQ428" i="11" l="1"/>
  <c r="AS427" i="11"/>
  <c r="AQ429" i="11" l="1"/>
  <c r="AS428" i="11"/>
  <c r="AQ430" i="11" l="1"/>
  <c r="AS429" i="11"/>
  <c r="AQ431" i="11" l="1"/>
  <c r="AS430" i="11"/>
  <c r="AQ432" i="11" l="1"/>
  <c r="AS431" i="11"/>
  <c r="AQ433" i="11" l="1"/>
  <c r="AS432" i="11"/>
  <c r="AQ434" i="11" l="1"/>
  <c r="AS433" i="11"/>
  <c r="AQ435" i="11" l="1"/>
  <c r="AS434" i="11"/>
  <c r="AQ436" i="11" l="1"/>
  <c r="AS435" i="11"/>
  <c r="AQ437" i="11" l="1"/>
  <c r="AS436" i="11"/>
  <c r="AQ438" i="11" l="1"/>
  <c r="AS437" i="11"/>
  <c r="AQ439" i="11" l="1"/>
  <c r="AS438" i="11"/>
  <c r="AS439" i="11" l="1"/>
  <c r="AQ440" i="11"/>
  <c r="AQ441" i="11" l="1"/>
  <c r="AS440" i="11"/>
  <c r="AQ442" i="11" l="1"/>
  <c r="AS441" i="11"/>
  <c r="AS442" i="11" l="1"/>
  <c r="AQ443" i="11"/>
  <c r="AS443" i="11" s="1"/>
</calcChain>
</file>

<file path=xl/sharedStrings.xml><?xml version="1.0" encoding="utf-8"?>
<sst xmlns="http://schemas.openxmlformats.org/spreadsheetml/2006/main" count="1555" uniqueCount="314">
  <si>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</si>
  <si>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</si>
  <si>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</si>
  <si>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</si>
  <si>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</si>
  <si>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</si>
  <si>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</si>
  <si>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</si>
  <si>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</si>
  <si>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</si>
  <si>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</si>
  <si>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</si>
  <si>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</si>
  <si>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</si>
  <si>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</si>
  <si>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</si>
  <si>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</si>
  <si>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</si>
  <si>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</si>
  <si>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</si>
  <si>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</si>
  <si>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</si>
  <si>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</si>
  <si>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</si>
  <si>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</si>
  <si>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</si>
  <si>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</si>
  <si>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</si>
  <si>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</si>
  <si>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</si>
  <si>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</si>
  <si>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</si>
  <si>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</si>
  <si>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</si>
  <si>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</si>
  <si>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</si>
  <si>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</si>
  <si>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</si>
  <si>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</si>
  <si>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</si>
  <si>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</si>
  <si>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</si>
  <si>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</si>
  <si>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</si>
  <si>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</si>
  <si>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</si>
  <si>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</si>
  <si>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</si>
  <si>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</si>
  <si>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</si>
  <si>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</si>
  <si>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</si>
  <si>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</si>
  <si>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</si>
  <si>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</si>
  <si>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</si>
  <si>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</si>
  <si>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</si>
  <si>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</si>
  <si>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</si>
  <si>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</si>
  <si>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</si>
  <si>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</si>
  <si>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</si>
  <si>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</si>
  <si>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</si>
  <si>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</si>
  <si>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</si>
  <si>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</si>
  <si>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</si>
  <si>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</si>
  <si>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</si>
  <si>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</si>
  <si>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</si>
  <si>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</si>
  <si>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</si>
  <si>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</si>
  <si>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</si>
  <si>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</si>
  <si>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</si>
  <si>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</si>
  <si>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</si>
  <si>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</si>
  <si>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</si>
  <si>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</si>
  <si>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</si>
  <si>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</si>
  <si>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</si>
  <si>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</si>
  <si>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</si>
  <si>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</si>
  <si>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</si>
  <si>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</si>
  <si>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</si>
  <si>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</si>
  <si>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</si>
  <si>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</si>
  <si>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</si>
  <si>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</si>
  <si>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</si>
  <si>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</si>
  <si>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</si>
  <si>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</si>
  <si>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</si>
  <si>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</si>
  <si>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</si>
  <si>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</si>
  <si>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</si>
  <si>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</si>
  <si>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</si>
  <si>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</si>
  <si>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</si>
  <si>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</si>
  <si>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</si>
  <si>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</si>
  <si>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</si>
  <si>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</si>
  <si>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</si>
  <si>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</si>
  <si>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</si>
  <si>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</si>
  <si>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</si>
  <si>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</si>
  <si>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</si>
  <si>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</si>
  <si>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</si>
  <si>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</si>
  <si>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</si>
  <si>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</si>
  <si>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</si>
  <si>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</si>
  <si>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</si>
  <si>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</si>
  <si>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</si>
  <si>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</si>
  <si>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</si>
  <si>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</si>
  <si>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</si>
  <si>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</si>
  <si>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</si>
  <si>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</si>
  <si>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</si>
  <si>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</si>
  <si>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</si>
  <si>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</si>
  <si>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</si>
  <si>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</si>
  <si>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</si>
  <si>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</si>
  <si>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</si>
  <si>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</si>
  <si>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</si>
  <si>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</si>
  <si>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</si>
  <si>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</si>
  <si>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</si>
  <si>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</si>
  <si>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</si>
  <si>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</si>
  <si>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</si>
  <si>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</si>
  <si>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</si>
  <si>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</si>
  <si>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</si>
  <si>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</si>
  <si>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</si>
  <si>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</si>
  <si>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</si>
  <si>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</si>
  <si>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</si>
  <si>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</si>
  <si>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</si>
  <si>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</si>
  <si>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</si>
  <si>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</si>
  <si>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</si>
  <si>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</si>
  <si>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</si>
  <si>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</si>
  <si>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</si>
  <si>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</si>
  <si>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</si>
  <si>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</si>
  <si>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</si>
  <si>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</si>
  <si>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</si>
  <si>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</si>
  <si>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</si>
  <si>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</si>
  <si>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</si>
  <si>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</si>
  <si>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</si>
  <si>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</si>
  <si>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</si>
  <si>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</si>
  <si>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</si>
  <si>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</si>
  <si>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</si>
  <si>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</si>
  <si>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</si>
  <si>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</si>
  <si>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</si>
  <si>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</si>
  <si>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</si>
  <si>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</si>
  <si>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</si>
  <si>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</si>
  <si>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</si>
  <si>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</si>
  <si>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</si>
  <si>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</si>
  <si>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</si>
  <si>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</si>
  <si>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</si>
  <si>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</si>
  <si>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</si>
  <si>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</si>
  <si>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</si>
  <si>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</si>
  <si>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</si>
  <si>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</si>
  <si>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</si>
  <si>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</si>
  <si>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</si>
  <si>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</si>
  <si>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</si>
  <si>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</si>
  <si>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</si>
  <si>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</si>
  <si>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</si>
  <si>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</si>
  <si>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</si>
  <si>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</si>
  <si>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</si>
  <si>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</si>
  <si>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</si>
  <si>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</si>
  <si>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</si>
  <si>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</si>
  <si>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</si>
  <si>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</si>
  <si>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</si>
  <si>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</si>
  <si>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</si>
  <si>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</si>
  <si>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</si>
  <si>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</si>
  <si>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</si>
  <si>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</si>
  <si>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</si>
  <si>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</si>
  <si>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</si>
  <si>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</si>
  <si>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</si>
  <si>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</si>
  <si>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</si>
  <si>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</si>
  <si>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</si>
  <si>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</si>
  <si>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</si>
  <si>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</si>
  <si>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</si>
  <si>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</si>
  <si>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</si>
  <si>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</si>
  <si>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</si>
  <si>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</si>
  <si>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</si>
  <si>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</si>
  <si>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</si>
  <si>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</si>
  <si>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</si>
  <si>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</si>
  <si>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</si>
  <si>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</si>
  <si>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</si>
  <si>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</si>
  <si>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</si>
  <si>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</si>
  <si>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</si>
  <si>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</si>
  <si>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</si>
  <si>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</si>
  <si>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</si>
  <si>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</si>
  <si>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</si>
  <si>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</si>
  <si>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</si>
  <si>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</si>
  <si>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</si>
  <si>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</si>
  <si>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</si>
  <si>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</si>
  <si>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</si>
  <si>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</si>
  <si>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</si>
  <si>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</si>
  <si>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</si>
  <si>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</si>
  <si>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r>
      <t>Juta m</t>
    </r>
    <r>
      <rPr>
        <vertAlign val="superscript"/>
        <sz val="13"/>
        <rFont val="Calibri"/>
        <family val="2"/>
      </rPr>
      <t>3</t>
    </r>
  </si>
  <si>
    <t>2019</t>
  </si>
  <si>
    <t>DATA   VOLUME   WADUK   JATI BARANG   5  TAHUN.</t>
  </si>
  <si>
    <t>n</t>
  </si>
  <si>
    <t>DATA VOLUME WADUK KEDUNGOMBO 8 TAHUN</t>
  </si>
  <si>
    <t>MOL</t>
  </si>
  <si>
    <t>2020</t>
  </si>
  <si>
    <t>Tahun 2020</t>
  </si>
  <si>
    <t>GRAFIK VOLUME HARIAN WADUK  SEJAWA TENGAH  TH 2020 ( juta m3 )</t>
  </si>
  <si>
    <t>zs</t>
  </si>
  <si>
    <t>Ada Pekerjaan Kontruksi dari BBWS Pemali Juana</t>
  </si>
  <si>
    <t xml:space="preserve">MINGGU KE  II MEI  ( 5 MEI S/D 11 MEI 2020) dalam Juta m3  </t>
  </si>
  <si>
    <t>*) = KONDISI  SAMPAI DENGAN TANGGAL 11 MEI 2020</t>
  </si>
  <si>
    <t>MINGGU KE II MEI  2020</t>
  </si>
  <si>
    <t>MINGGU  :  II MEI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</si>
</sst>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2" x14ac:knownFonts="1">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5">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cellStyleXfs>
  <cellXfs count="899">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165" fontId="47" fillId="0" borderId="125"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39" fontId="55" fillId="33" borderId="97" xfId="0" applyNumberFormat="1" applyFont="1" applyFill="1" applyBorder="1" applyAlignment="1">
      <alignment horizontal="right" vertical="center" indent="1"/>
    </xf>
    <xf numFmtId="9" fontId="47" fillId="33" borderId="97" xfId="43" applyNumberFormat="1" applyFont="1" applyFill="1" applyBorder="1" applyAlignment="1">
      <alignment horizontal="center" vertical="center"/>
    </xf>
    <xf numFmtId="2" fontId="47" fillId="39" borderId="19" xfId="40" applyNumberFormat="1" applyFont="1" applyFill="1" applyBorder="1" applyAlignment="1">
      <alignment vertical="center"/>
    </xf>
    <xf numFmtId="174" fontId="73" fillId="0" borderId="12" xfId="47" applyNumberFormat="1" applyFont="1" applyBorder="1" applyAlignment="1"/>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43" fontId="47" fillId="39" borderId="19" xfId="40" applyNumberFormat="1" applyFont="1" applyFill="1" applyBorder="1" applyAlignment="1" applyProtection="1">
      <alignment vertical="center"/>
    </xf>
    <xf numFmtId="39" fontId="47" fillId="33" borderId="12" xfId="0" applyNumberFormat="1" applyFont="1" applyFill="1" applyBorder="1" applyAlignment="1">
      <alignment horizontal="center" vertical="center"/>
    </xf>
    <xf numFmtId="164" fontId="73" fillId="33" borderId="80" xfId="0" applyNumberFormat="1" applyFont="1" applyFill="1" applyBorder="1" applyAlignment="1">
      <alignment horizontal="center" vertical="center" wrapText="1"/>
    </xf>
    <xf numFmtId="2" fontId="77" fillId="33" borderId="12" xfId="0" applyNumberFormat="1" applyFont="1" applyFill="1" applyBorder="1" applyAlignment="1">
      <alignment horizontal="center"/>
    </xf>
    <xf numFmtId="2" fontId="77" fillId="33" borderId="42" xfId="0" applyNumberFormat="1" applyFont="1" applyFill="1" applyBorder="1" applyAlignment="1">
      <alignment horizontal="center"/>
    </xf>
    <xf numFmtId="2" fontId="76" fillId="33" borderId="12" xfId="0" applyNumberFormat="1" applyFont="1" applyFill="1" applyBorder="1" applyAlignment="1">
      <alignment horizontal="center"/>
    </xf>
    <xf numFmtId="2" fontId="73" fillId="33" borderId="12" xfId="0" applyNumberFormat="1" applyFont="1" applyFill="1" applyBorder="1" applyAlignment="1">
      <alignment horizontal="center" vertical="center"/>
    </xf>
    <xf numFmtId="2" fontId="73" fillId="33" borderId="42" xfId="0" applyNumberFormat="1" applyFont="1" applyFill="1" applyBorder="1" applyAlignment="1">
      <alignment horizontal="center" vertical="center"/>
    </xf>
    <xf numFmtId="2" fontId="75" fillId="33" borderId="12" xfId="0" applyNumberFormat="1" applyFont="1" applyFill="1" applyBorder="1" applyAlignment="1">
      <alignment horizontal="right" vertical="center"/>
    </xf>
    <xf numFmtId="2" fontId="73" fillId="33" borderId="12" xfId="0" applyNumberFormat="1" applyFont="1" applyFill="1" applyBorder="1" applyAlignment="1">
      <alignment horizontal="right" vertical="center"/>
    </xf>
    <xf numFmtId="178" fontId="47" fillId="27" borderId="16" xfId="0" applyNumberFormat="1" applyFont="1" applyFill="1" applyBorder="1" applyAlignment="1">
      <alignment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55" fillId="27" borderId="12" xfId="0" applyNumberFormat="1" applyFont="1" applyFill="1" applyBorder="1" applyAlignment="1">
      <alignment vertical="center"/>
    </xf>
    <xf numFmtId="39" fontId="73" fillId="27" borderId="12" xfId="0" applyNumberFormat="1" applyFont="1" applyFill="1" applyBorder="1" applyAlignment="1">
      <alignment vertical="center"/>
    </xf>
    <xf numFmtId="39" fontId="47" fillId="27" borderId="12"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39" fontId="73" fillId="27" borderId="11" xfId="0" applyNumberFormat="1" applyFont="1" applyFill="1" applyBorder="1" applyAlignment="1">
      <alignment vertical="center" shrinkToFit="1"/>
    </xf>
    <xf numFmtId="43" fontId="55" fillId="27" borderId="12" xfId="28" applyNumberFormat="1" applyFont="1" applyFill="1" applyBorder="1" applyAlignment="1">
      <alignment vertical="center"/>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43" fontId="55" fillId="27" borderId="12" xfId="0" applyNumberFormat="1" applyFont="1" applyFill="1" applyBorder="1" applyAlignment="1">
      <alignment vertical="center" shrinkToFit="1"/>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72"/>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20" xfId="71"/>
    <cellStyle name="Comma 21" xfId="73"/>
    <cellStyle name="Comma 22" xfId="74"/>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overlay val="0"/>
      <c:spPr>
        <a:noFill/>
        <a:ln w="25400">
          <a:noFill/>
        </a:ln>
      </c:spPr>
    </c:title>
    <c:autoTitleDeleted val="0"/>
    <c:plotArea>
      <c:layout>
        <c:manualLayout>
          <c:layoutTarget val="inner"/>
          <c:xMode val="edge"/>
          <c:yMode val="edge"/>
          <c:x val="0.14342629482071753"/>
          <c:y val="9.3990755007704166E-2"/>
          <c:w val="0.82868525896414524"/>
          <c:h val="0.77966101694915591"/>
        </c:manualLayout>
      </c:layout>
      <c:lineChart>
        <c:grouping val="standard"/>
        <c:varyColors val="0"/>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mooth val="0"/>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mooth val="0"/>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mooth val="0"/>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mooth val="0"/>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0.00</c:formatCode>
                <c:ptCount val="12"/>
                <c:pt idx="0" formatCode="General">
                  <c:v>578.73</c:v>
                </c:pt>
                <c:pt idx="1">
                  <c:v>933.5</c:v>
                </c:pt>
                <c:pt idx="2" formatCode="_(* #,##0.00_);_(* \(#,##0.00\);_(* &quot;-&quot;??_);_(@_)">
                  <c:v>1248.96</c:v>
                </c:pt>
                <c:pt idx="3" formatCode="_(* #,##0.00_);_(* \(#,##0.00\);_(* &quot;-&quot;??_);_(@_)">
                  <c:v>1325.65</c:v>
                </c:pt>
                <c:pt idx="4" formatCode="_(* #,##0.00_);_(* \(#,##0.00\);_(* &quot;-&quot;??_);_(@_)">
                  <c:v>1346.29</c:v>
                </c:pt>
              </c:numCache>
            </c:numRef>
          </c:val>
          <c:smooth val="0"/>
        </c:ser>
        <c:dLbls>
          <c:showLegendKey val="0"/>
          <c:showVal val="0"/>
          <c:showCatName val="0"/>
          <c:showSerName val="0"/>
          <c:showPercent val="0"/>
          <c:showBubbleSize val="0"/>
        </c:dLbls>
        <c:marker val="1"/>
        <c:smooth val="0"/>
        <c:axId val="72116480"/>
        <c:axId val="72118272"/>
      </c:lineChart>
      <c:catAx>
        <c:axId val="7211648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72118272"/>
        <c:crosses val="autoZero"/>
        <c:auto val="0"/>
        <c:lblAlgn val="ctr"/>
        <c:lblOffset val="100"/>
        <c:tickLblSkip val="1"/>
        <c:tickMarkSkip val="1"/>
        <c:noMultiLvlLbl val="0"/>
      </c:catAx>
      <c:valAx>
        <c:axId val="72118272"/>
        <c:scaling>
          <c:orientation val="minMax"/>
          <c:max val="1800"/>
          <c:min val="20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72116480"/>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86" r="0.74803149606305086"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overlay val="0"/>
      <c:spPr>
        <a:noFill/>
        <a:ln w="25400">
          <a:noFill/>
        </a:ln>
      </c:spPr>
    </c:title>
    <c:autoTitleDeleted val="0"/>
    <c:plotArea>
      <c:layout/>
      <c:lineChart>
        <c:grouping val="standard"/>
        <c:varyColors val="0"/>
        <c:ser>
          <c:idx val="0"/>
          <c:order val="0"/>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ser>
        <c:ser>
          <c:idx val="1"/>
          <c:order val="1"/>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ser>
        <c:ser>
          <c:idx val="2"/>
          <c:order val="2"/>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ser>
        <c:ser>
          <c:idx val="3"/>
          <c:order val="3"/>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ser>
        <c:ser>
          <c:idx val="4"/>
          <c:order val="4"/>
          <c:tx>
            <c:strRef>
              <c:f>GRASPOR!$K$4</c:f>
              <c:strCache>
                <c:ptCount val="1"/>
                <c:pt idx="0">
                  <c:v>2020</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numCache>
            </c:numRef>
          </c:val>
          <c:smooth val="0"/>
        </c:ser>
        <c:dLbls>
          <c:showLegendKey val="0"/>
          <c:showVal val="0"/>
          <c:showCatName val="0"/>
          <c:showSerName val="0"/>
          <c:showPercent val="0"/>
          <c:showBubbleSize val="0"/>
        </c:dLbls>
        <c:marker val="1"/>
        <c:smooth val="0"/>
        <c:axId val="74066176"/>
        <c:axId val="74072064"/>
      </c:lineChart>
      <c:catAx>
        <c:axId val="74066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74072064"/>
        <c:crosses val="autoZero"/>
        <c:auto val="0"/>
        <c:lblAlgn val="ctr"/>
        <c:lblOffset val="100"/>
        <c:tickLblSkip val="1"/>
        <c:tickMarkSkip val="1"/>
        <c:noMultiLvlLbl val="0"/>
      </c:catAx>
      <c:valAx>
        <c:axId val="74072064"/>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7406617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overlay val="0"/>
      <c:spPr>
        <a:noFill/>
        <a:ln w="25400">
          <a:noFill/>
        </a:ln>
      </c:spPr>
    </c:title>
    <c:autoTitleDeleted val="0"/>
    <c:plotArea>
      <c:layout>
        <c:manualLayout>
          <c:layoutTarget val="inner"/>
          <c:xMode val="edge"/>
          <c:yMode val="edge"/>
          <c:x val="0.14728682170542681"/>
          <c:y val="8.6757990867580237E-2"/>
          <c:w val="0.82170542635659261"/>
          <c:h val="0.71689497716895134"/>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numCache>
            </c:numRef>
          </c:val>
          <c:smooth val="0"/>
        </c:ser>
        <c:dLbls>
          <c:showLegendKey val="0"/>
          <c:showVal val="0"/>
          <c:showCatName val="0"/>
          <c:showSerName val="0"/>
          <c:showPercent val="0"/>
          <c:showBubbleSize val="0"/>
        </c:dLbls>
        <c:marker val="1"/>
        <c:smooth val="0"/>
        <c:axId val="79631488"/>
        <c:axId val="79633024"/>
      </c:lineChart>
      <c:catAx>
        <c:axId val="79631488"/>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79633024"/>
        <c:crosses val="autoZero"/>
        <c:auto val="0"/>
        <c:lblAlgn val="ctr"/>
        <c:lblOffset val="100"/>
        <c:tickLblSkip val="1"/>
        <c:tickMarkSkip val="1"/>
        <c:noMultiLvlLbl val="0"/>
      </c:catAx>
      <c:valAx>
        <c:axId val="79633024"/>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7963148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mooth val="0"/>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83462784"/>
        <c:axId val="83464576"/>
      </c:lineChart>
      <c:catAx>
        <c:axId val="83462784"/>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3464576"/>
        <c:crosses val="autoZero"/>
        <c:auto val="1"/>
        <c:lblAlgn val="ctr"/>
        <c:lblOffset val="100"/>
        <c:noMultiLvlLbl val="0"/>
      </c:catAx>
      <c:valAx>
        <c:axId val="83464576"/>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83462784"/>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86" l="0.7086614173228879" r="0.7086614173228879" t="0.74803149606305586" header="0.31496062992129265" footer="0.3149606299212926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ser>
        <c:dLbls>
          <c:showLegendKey val="0"/>
          <c:showVal val="0"/>
          <c:showCatName val="0"/>
          <c:showSerName val="0"/>
          <c:showPercent val="0"/>
          <c:showBubbleSize val="0"/>
        </c:dLbls>
        <c:gapWidth val="150"/>
        <c:axId val="83499648"/>
        <c:axId val="83501824"/>
      </c:barChart>
      <c:catAx>
        <c:axId val="83499648"/>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75"/>
              <c:y val="0.76171863517060523"/>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83501824"/>
        <c:crossesAt val="0"/>
        <c:auto val="0"/>
        <c:lblAlgn val="ctr"/>
        <c:lblOffset val="100"/>
        <c:tickLblSkip val="1"/>
        <c:tickMarkSkip val="1"/>
        <c:noMultiLvlLbl val="0"/>
      </c:catAx>
      <c:valAx>
        <c:axId val="8350182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18E-3"/>
              <c:y val="0.38281229846269343"/>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83499648"/>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80757886205836E-2"/>
          <c:y val="0.12568035113502921"/>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612.39</c:v>
                </c:pt>
                <c:pt idx="35">
                  <c:v>616.53</c:v>
                </c:pt>
                <c:pt idx="36">
                  <c:v>623.99</c:v>
                </c:pt>
                <c:pt idx="37">
                  <c:v>635.01</c:v>
                </c:pt>
                <c:pt idx="41">
                  <c:v>642.96</c:v>
                </c:pt>
                <c:pt idx="42">
                  <c:v>644.61</c:v>
                </c:pt>
                <c:pt idx="43">
                  <c:v>646.84</c:v>
                </c:pt>
                <c:pt idx="44">
                  <c:v>649.76</c:v>
                </c:pt>
                <c:pt idx="45">
                  <c:v>650.83000000000004</c:v>
                </c:pt>
                <c:pt idx="46">
                  <c:v>640.70000000000005</c:v>
                </c:pt>
                <c:pt idx="47">
                  <c:v>651.95000000000005</c:v>
                </c:pt>
                <c:pt idx="48">
                  <c:v>664.97</c:v>
                </c:pt>
                <c:pt idx="49">
                  <c:v>680.15</c:v>
                </c:pt>
                <c:pt idx="50">
                  <c:v>700.34</c:v>
                </c:pt>
                <c:pt idx="51">
                  <c:v>713.12</c:v>
                </c:pt>
                <c:pt idx="52">
                  <c:v>724.12</c:v>
                </c:pt>
                <c:pt idx="53">
                  <c:v>742.39</c:v>
                </c:pt>
                <c:pt idx="54">
                  <c:v>770.5</c:v>
                </c:pt>
                <c:pt idx="55">
                  <c:v>801.6</c:v>
                </c:pt>
                <c:pt idx="56">
                  <c:v>819.83</c:v>
                </c:pt>
                <c:pt idx="57">
                  <c:v>828.26</c:v>
                </c:pt>
                <c:pt idx="58">
                  <c:v>840.04</c:v>
                </c:pt>
                <c:pt idx="59">
                  <c:v>855.1</c:v>
                </c:pt>
                <c:pt idx="60">
                  <c:v>868.26</c:v>
                </c:pt>
                <c:pt idx="61">
                  <c:v>889.62</c:v>
                </c:pt>
                <c:pt idx="62">
                  <c:v>908.93</c:v>
                </c:pt>
                <c:pt idx="63">
                  <c:v>933.5</c:v>
                </c:pt>
                <c:pt idx="64">
                  <c:v>960.8</c:v>
                </c:pt>
                <c:pt idx="65">
                  <c:v>984.16</c:v>
                </c:pt>
                <c:pt idx="66">
                  <c:v>1015.13</c:v>
                </c:pt>
                <c:pt idx="67">
                  <c:v>1039.57</c:v>
                </c:pt>
                <c:pt idx="68">
                  <c:v>1074.3900000000001</c:v>
                </c:pt>
                <c:pt idx="69">
                  <c:v>1107.1300000000001</c:v>
                </c:pt>
                <c:pt idx="70">
                  <c:v>1129.31</c:v>
                </c:pt>
                <c:pt idx="71">
                  <c:v>1158.6400000000001</c:v>
                </c:pt>
                <c:pt idx="72">
                  <c:v>1170.1500000000001</c:v>
                </c:pt>
                <c:pt idx="73">
                  <c:v>1178.8399999999999</c:v>
                </c:pt>
                <c:pt idx="74">
                  <c:v>1173.79</c:v>
                </c:pt>
                <c:pt idx="75">
                  <c:v>1172.98</c:v>
                </c:pt>
                <c:pt idx="76">
                  <c:v>1174.8399999999999</c:v>
                </c:pt>
                <c:pt idx="77">
                  <c:v>1173.98</c:v>
                </c:pt>
                <c:pt idx="78">
                  <c:v>1177</c:v>
                </c:pt>
                <c:pt idx="79">
                  <c:v>1183.57</c:v>
                </c:pt>
                <c:pt idx="80">
                  <c:v>1192.02</c:v>
                </c:pt>
                <c:pt idx="81">
                  <c:v>1217.23</c:v>
                </c:pt>
                <c:pt idx="82">
                  <c:v>1240.25</c:v>
                </c:pt>
                <c:pt idx="83">
                  <c:v>1241.27</c:v>
                </c:pt>
                <c:pt idx="84">
                  <c:v>1248.96</c:v>
                </c:pt>
                <c:pt idx="85">
                  <c:v>1248.82</c:v>
                </c:pt>
                <c:pt idx="86">
                  <c:v>1254.3</c:v>
                </c:pt>
                <c:pt idx="87">
                  <c:v>1256.3900000000001</c:v>
                </c:pt>
                <c:pt idx="91">
                  <c:v>1260.51</c:v>
                </c:pt>
                <c:pt idx="92">
                  <c:v>1257.74</c:v>
                </c:pt>
                <c:pt idx="93">
                  <c:v>1258.47</c:v>
                </c:pt>
                <c:pt idx="94">
                  <c:v>1261.4000000000001</c:v>
                </c:pt>
                <c:pt idx="95">
                  <c:v>1268.79</c:v>
                </c:pt>
                <c:pt idx="96">
                  <c:v>1274.99</c:v>
                </c:pt>
                <c:pt idx="97">
                  <c:v>1288.1300000000001</c:v>
                </c:pt>
                <c:pt idx="98">
                  <c:v>1287.52</c:v>
                </c:pt>
                <c:pt idx="99">
                  <c:v>1299.08</c:v>
                </c:pt>
                <c:pt idx="100">
                  <c:v>1296.76</c:v>
                </c:pt>
                <c:pt idx="101">
                  <c:v>1297.17</c:v>
                </c:pt>
                <c:pt idx="102">
                  <c:v>1302.54</c:v>
                </c:pt>
                <c:pt idx="103">
                  <c:v>1319.08</c:v>
                </c:pt>
                <c:pt idx="104">
                  <c:v>1322.54</c:v>
                </c:pt>
                <c:pt idx="105">
                  <c:v>1330.44</c:v>
                </c:pt>
                <c:pt idx="106">
                  <c:v>1342.59</c:v>
                </c:pt>
                <c:pt idx="107">
                  <c:v>1336.47</c:v>
                </c:pt>
                <c:pt idx="108">
                  <c:v>1334.88</c:v>
                </c:pt>
                <c:pt idx="109">
                  <c:v>1344.69</c:v>
                </c:pt>
                <c:pt idx="110">
                  <c:v>1344.36</c:v>
                </c:pt>
                <c:pt idx="111">
                  <c:v>1341.98</c:v>
                </c:pt>
                <c:pt idx="112">
                  <c:v>1336.75</c:v>
                </c:pt>
                <c:pt idx="113">
                  <c:v>1343.62</c:v>
                </c:pt>
                <c:pt idx="114">
                  <c:v>1338.36</c:v>
                </c:pt>
                <c:pt idx="115">
                  <c:v>1337.14</c:v>
                </c:pt>
                <c:pt idx="116">
                  <c:v>1325.84</c:v>
                </c:pt>
                <c:pt idx="117">
                  <c:v>1325.68</c:v>
                </c:pt>
                <c:pt idx="118">
                  <c:v>1325.5</c:v>
                </c:pt>
                <c:pt idx="119">
                  <c:v>1331.05</c:v>
                </c:pt>
                <c:pt idx="120">
                  <c:v>1330.25</c:v>
                </c:pt>
                <c:pt idx="121">
                  <c:v>1325.57</c:v>
                </c:pt>
                <c:pt idx="122">
                  <c:v>1325.65</c:v>
                </c:pt>
                <c:pt idx="123">
                  <c:v>1330.46</c:v>
                </c:pt>
                <c:pt idx="124">
                  <c:v>1329.06</c:v>
                </c:pt>
                <c:pt idx="125">
                  <c:v>1331.05</c:v>
                </c:pt>
                <c:pt idx="126">
                  <c:v>1330.3</c:v>
                </c:pt>
                <c:pt idx="127">
                  <c:v>1329.69</c:v>
                </c:pt>
                <c:pt idx="128">
                  <c:v>1328</c:v>
                </c:pt>
                <c:pt idx="129">
                  <c:v>1324.7</c:v>
                </c:pt>
                <c:pt idx="130">
                  <c:v>1323.86</c:v>
                </c:pt>
                <c:pt idx="131">
                  <c:v>1322.17</c:v>
                </c:pt>
                <c:pt idx="132">
                  <c:v>1325.19</c:v>
                </c:pt>
                <c:pt idx="133">
                  <c:v>1333.9</c:v>
                </c:pt>
                <c:pt idx="134">
                  <c:v>1329.37</c:v>
                </c:pt>
                <c:pt idx="135">
                  <c:v>1338.35</c:v>
                </c:pt>
                <c:pt idx="136">
                  <c:v>1346.29</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mooth val="0"/>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mooth val="0"/>
        </c:ser>
        <c:dLbls>
          <c:showLegendKey val="0"/>
          <c:showVal val="0"/>
          <c:showCatName val="0"/>
          <c:showSerName val="0"/>
          <c:showPercent val="0"/>
          <c:showBubbleSize val="0"/>
        </c:dLbls>
        <c:marker val="1"/>
        <c:smooth val="0"/>
        <c:axId val="83539456"/>
        <c:axId val="83540992"/>
      </c:lineChart>
      <c:dateAx>
        <c:axId val="83539456"/>
        <c:scaling>
          <c:orientation val="minMax"/>
        </c:scaling>
        <c:delete val="0"/>
        <c:axPos val="b"/>
        <c:numFmt formatCode="dd\-mmm" sourceLinked="0"/>
        <c:majorTickMark val="out"/>
        <c:minorTickMark val="none"/>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83540992"/>
        <c:crosses val="autoZero"/>
        <c:auto val="0"/>
        <c:lblOffset val="100"/>
        <c:baseTimeUnit val="days"/>
        <c:majorUnit val="1"/>
        <c:majorTimeUnit val="months"/>
        <c:minorUnit val="1"/>
        <c:minorTimeUnit val="months"/>
      </c:dateAx>
      <c:valAx>
        <c:axId val="83540992"/>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7E-2"/>
              <c:y val="0.47634067170175287"/>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3539456"/>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showLegendKey val="0"/>
          <c:showVal val="0"/>
          <c:showCatName val="0"/>
          <c:showSerName val="0"/>
          <c:showPercent val="0"/>
          <c:showBubbleSize val="0"/>
        </c:dLbls>
        <c:gapWidth val="150"/>
        <c:axId val="90079616"/>
        <c:axId val="90081536"/>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90079616"/>
        <c:axId val="90081536"/>
      </c:lineChart>
      <c:catAx>
        <c:axId val="900796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90081536"/>
        <c:crosses val="autoZero"/>
        <c:auto val="0"/>
        <c:lblAlgn val="ctr"/>
        <c:lblOffset val="100"/>
        <c:tickLblSkip val="1"/>
        <c:tickMarkSkip val="1"/>
        <c:noMultiLvlLbl val="0"/>
      </c:catAx>
      <c:valAx>
        <c:axId val="90081536"/>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5E-2"/>
              <c:y val="0.36760261004526218"/>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9007961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52"/>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877"/>
          <c:h val="0.70216606498189948"/>
        </c:manualLayout>
      </c:layout>
      <c:barChart>
        <c:barDir val="col"/>
        <c:grouping val="clustered"/>
        <c:varyColors val="0"/>
        <c:ser>
          <c:idx val="1"/>
          <c:order val="0"/>
          <c:tx>
            <c:v>Volume Rencana</c:v>
          </c:tx>
          <c:spPr>
            <a:pattFill prst="dkDnDiag">
              <a:fgClr>
                <a:srgbClr val="00FF00"/>
              </a:fgClr>
              <a:bgClr>
                <a:srgbClr val="FFFFFF"/>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29.92764</c:v>
                </c:pt>
                <c:pt idx="1">
                  <c:v>39.431297000000001</c:v>
                </c:pt>
                <c:pt idx="2">
                  <c:v>44.911000000000001</c:v>
                </c:pt>
                <c:pt idx="3">
                  <c:v>601.56600000000003</c:v>
                </c:pt>
                <c:pt idx="4">
                  <c:v>354.25700000000001</c:v>
                </c:pt>
                <c:pt idx="5">
                  <c:v>26.411000000000001</c:v>
                </c:pt>
                <c:pt idx="6">
                  <c:v>294.71899999999999</c:v>
                </c:pt>
                <c:pt idx="7">
                  <c:v>6.1959999999999997</c:v>
                </c:pt>
              </c:numCache>
            </c:numRef>
          </c:val>
        </c:ser>
        <c:ser>
          <c:idx val="0"/>
          <c:order val="1"/>
          <c:tx>
            <c:v>Volume Realisasi</c:v>
          </c:tx>
          <c:spPr>
            <a:pattFill prst="dkUpDiag">
              <a:fgClr>
                <a:srgbClr val="FF9900"/>
              </a:fgClr>
              <a:bgClr>
                <a:srgbClr val="FF6600"/>
              </a:bgClr>
            </a:pattFill>
            <a:ln w="12700">
              <a:solidFill>
                <a:srgbClr val="000000"/>
              </a:solidFill>
              <a:prstDash val="solid"/>
            </a:ln>
          </c:spPr>
          <c:invertIfNegative val="0"/>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30.20984</c:v>
                </c:pt>
                <c:pt idx="1">
                  <c:v>46.448554999999999</c:v>
                </c:pt>
                <c:pt idx="2">
                  <c:v>48.21</c:v>
                </c:pt>
                <c:pt idx="3">
                  <c:v>461.88152977056512</c:v>
                </c:pt>
                <c:pt idx="4">
                  <c:v>360.19709461399998</c:v>
                </c:pt>
                <c:pt idx="5">
                  <c:v>33.387</c:v>
                </c:pt>
                <c:pt idx="6">
                  <c:v>284.452</c:v>
                </c:pt>
                <c:pt idx="7">
                  <c:v>11.25</c:v>
                </c:pt>
              </c:numCache>
            </c:numRef>
          </c:val>
        </c:ser>
        <c:dLbls>
          <c:showLegendKey val="0"/>
          <c:showVal val="0"/>
          <c:showCatName val="0"/>
          <c:showSerName val="0"/>
          <c:showPercent val="0"/>
          <c:showBubbleSize val="0"/>
        </c:dLbls>
        <c:gapWidth val="150"/>
        <c:axId val="82049280"/>
        <c:axId val="82059648"/>
      </c:barChart>
      <c:lineChart>
        <c:grouping val="standard"/>
        <c:varyColors val="0"/>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55.56</c:v>
                </c:pt>
                <c:pt idx="1">
                  <c:v>75.94</c:v>
                </c:pt>
                <c:pt idx="2">
                  <c:v>462.85</c:v>
                </c:pt>
                <c:pt idx="3">
                  <c:v>88.24</c:v>
                </c:pt>
                <c:pt idx="4">
                  <c:v>138.78</c:v>
                </c:pt>
                <c:pt idx="5">
                  <c:v>67</c:v>
                </c:pt>
                <c:pt idx="6">
                  <c:v>175.5</c:v>
                </c:pt>
                <c:pt idx="7">
                  <c:v>228.77</c:v>
                </c:pt>
              </c:numCache>
            </c:numRef>
          </c:cat>
          <c:val>
            <c:numRef>
              <c:f>'RINCI 1'!$F$9:$F$16</c:f>
              <c:numCache>
                <c:formatCode>_(* #,##0.00_);_(* \(#,##0.00\);_(* "-"??_);_(@_)</c:formatCode>
                <c:ptCount val="8"/>
                <c:pt idx="0">
                  <c:v>55.56</c:v>
                </c:pt>
                <c:pt idx="1">
                  <c:v>75.94</c:v>
                </c:pt>
                <c:pt idx="2">
                  <c:v>462.85</c:v>
                </c:pt>
                <c:pt idx="3">
                  <c:v>88.24</c:v>
                </c:pt>
                <c:pt idx="4">
                  <c:v>138.78</c:v>
                </c:pt>
                <c:pt idx="5">
                  <c:v>67</c:v>
                </c:pt>
                <c:pt idx="6">
                  <c:v>175.5</c:v>
                </c:pt>
                <c:pt idx="7">
                  <c:v>228.77</c:v>
                </c:pt>
              </c:numCache>
            </c:numRef>
          </c:val>
          <c:smooth val="0"/>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55.61</c:v>
                </c:pt>
                <c:pt idx="1">
                  <c:v>77.099999999999994</c:v>
                </c:pt>
                <c:pt idx="2">
                  <c:v>463</c:v>
                </c:pt>
                <c:pt idx="3">
                  <c:v>85.03</c:v>
                </c:pt>
                <c:pt idx="4">
                  <c:v>135.88999999999999</c:v>
                </c:pt>
                <c:pt idx="5">
                  <c:v>70.099999999999994</c:v>
                </c:pt>
                <c:pt idx="6">
                  <c:v>174.4</c:v>
                </c:pt>
                <c:pt idx="7">
                  <c:v>229.84</c:v>
                </c:pt>
              </c:numCache>
            </c:numRef>
          </c:cat>
          <c:val>
            <c:numRef>
              <c:f>'RINCI 1'!$G$9:$G$16</c:f>
              <c:numCache>
                <c:formatCode>_(* #,##0.00_);_(* \(#,##0.00\);_(* "-"??_);_(@_)</c:formatCode>
                <c:ptCount val="8"/>
                <c:pt idx="0">
                  <c:v>55.61</c:v>
                </c:pt>
                <c:pt idx="1">
                  <c:v>77.099999999999994</c:v>
                </c:pt>
                <c:pt idx="2">
                  <c:v>463</c:v>
                </c:pt>
                <c:pt idx="3">
                  <c:v>85.03</c:v>
                </c:pt>
                <c:pt idx="4">
                  <c:v>135.88999999999999</c:v>
                </c:pt>
                <c:pt idx="5">
                  <c:v>70.099999999999994</c:v>
                </c:pt>
                <c:pt idx="6">
                  <c:v>174.4</c:v>
                </c:pt>
                <c:pt idx="7">
                  <c:v>229.84</c:v>
                </c:pt>
              </c:numCache>
            </c:numRef>
          </c:val>
          <c:smooth val="0"/>
        </c:ser>
        <c:dLbls>
          <c:showLegendKey val="0"/>
          <c:showVal val="0"/>
          <c:showCatName val="0"/>
          <c:showSerName val="0"/>
          <c:showPercent val="0"/>
          <c:showBubbleSize val="0"/>
        </c:dLbls>
        <c:marker val="1"/>
        <c:smooth val="0"/>
        <c:axId val="82061568"/>
        <c:axId val="82084224"/>
      </c:lineChart>
      <c:catAx>
        <c:axId val="82049280"/>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82059648"/>
        <c:crossesAt val="10"/>
        <c:auto val="0"/>
        <c:lblAlgn val="ctr"/>
        <c:lblOffset val="100"/>
        <c:tickLblSkip val="1"/>
        <c:tickMarkSkip val="1"/>
        <c:noMultiLvlLbl val="0"/>
      </c:catAx>
      <c:valAx>
        <c:axId val="8205964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22E-3"/>
              <c:y val="0.45683447511299446"/>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82049280"/>
        <c:crosses val="autoZero"/>
        <c:crossBetween val="between"/>
        <c:majorUnit val="50"/>
      </c:valAx>
      <c:catAx>
        <c:axId val="8206156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16"/>
              <c:y val="5.0959379175076015E-2"/>
            </c:manualLayout>
          </c:layout>
          <c:overlay val="0"/>
          <c:spPr>
            <a:noFill/>
            <a:ln w="25400">
              <a:noFill/>
            </a:ln>
          </c:spPr>
        </c:title>
        <c:numFmt formatCode="_(* #,##0.00_);_(* \(#,##0.00\);_(* &quot;-&quot;??_);_(@_)" sourceLinked="1"/>
        <c:majorTickMark val="out"/>
        <c:minorTickMark val="none"/>
        <c:tickLblPos val="nextTo"/>
        <c:crossAx val="82084224"/>
        <c:crosses val="autoZero"/>
        <c:auto val="0"/>
        <c:lblAlgn val="ctr"/>
        <c:lblOffset val="100"/>
        <c:noMultiLvlLbl val="0"/>
      </c:catAx>
      <c:valAx>
        <c:axId val="82084224"/>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15"/>
              <c:y val="0.47302159432237112"/>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206156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9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22"/>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0.69499999999999995</c:v>
                </c:pt>
                <c:pt idx="1">
                  <c:v>0.22800000000000001</c:v>
                </c:pt>
                <c:pt idx="2">
                  <c:v>0.23200000000000001</c:v>
                </c:pt>
                <c:pt idx="3">
                  <c:v>0.752</c:v>
                </c:pt>
                <c:pt idx="4">
                  <c:v>5.3999999999999999E-2</c:v>
                </c:pt>
                <c:pt idx="5">
                  <c:v>6.0999999999999999E-2</c:v>
                </c:pt>
                <c:pt idx="6">
                  <c:v>2.7679999999999998</c:v>
                </c:pt>
                <c:pt idx="7">
                  <c:v>2.3580000000000001</c:v>
                </c:pt>
                <c:pt idx="8">
                  <c:v>2.3010000000000002</c:v>
                </c:pt>
                <c:pt idx="9">
                  <c:v>1.393</c:v>
                </c:pt>
              </c:numCache>
            </c:numRef>
          </c:val>
        </c:ser>
        <c:dLbls>
          <c:showLegendKey val="0"/>
          <c:showVal val="0"/>
          <c:showCatName val="0"/>
          <c:showSerName val="0"/>
          <c:showPercent val="0"/>
          <c:showBubbleSize val="0"/>
        </c:dLbls>
        <c:gapWidth val="150"/>
        <c:axId val="82166144"/>
        <c:axId val="82167680"/>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0.62363170000000001</c:v>
                </c:pt>
                <c:pt idx="1">
                  <c:v>0.5</c:v>
                </c:pt>
                <c:pt idx="2">
                  <c:v>0.57354000000000005</c:v>
                </c:pt>
                <c:pt idx="3">
                  <c:v>0.965187927</c:v>
                </c:pt>
                <c:pt idx="4">
                  <c:v>7.3440000000000005E-2</c:v>
                </c:pt>
                <c:pt idx="5">
                  <c:v>0.101966</c:v>
                </c:pt>
                <c:pt idx="6">
                  <c:v>9.4786347099999997</c:v>
                </c:pt>
                <c:pt idx="7">
                  <c:v>2.1288</c:v>
                </c:pt>
                <c:pt idx="8">
                  <c:v>4.154369</c:v>
                </c:pt>
                <c:pt idx="9">
                  <c:v>2.7310267800000001</c:v>
                </c:pt>
              </c:numCache>
            </c:numRef>
          </c:val>
          <c:smooth val="0"/>
        </c:ser>
        <c:dLbls>
          <c:showLegendKey val="0"/>
          <c:showVal val="0"/>
          <c:showCatName val="0"/>
          <c:showSerName val="0"/>
          <c:showPercent val="0"/>
          <c:showBubbleSize val="0"/>
        </c:dLbls>
        <c:marker val="1"/>
        <c:smooth val="0"/>
        <c:axId val="82186240"/>
        <c:axId val="82187776"/>
      </c:lineChart>
      <c:catAx>
        <c:axId val="82166144"/>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2167680"/>
        <c:crosses val="autoZero"/>
        <c:auto val="1"/>
        <c:lblAlgn val="ctr"/>
        <c:lblOffset val="100"/>
        <c:tickMarkSkip val="1"/>
        <c:noMultiLvlLbl val="0"/>
      </c:catAx>
      <c:valAx>
        <c:axId val="82167680"/>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9E-2"/>
              <c:y val="0.34698687664042127"/>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82166144"/>
        <c:crosses val="autoZero"/>
        <c:crossBetween val="between"/>
        <c:majorUnit val="0.5"/>
      </c:valAx>
      <c:catAx>
        <c:axId val="82186240"/>
        <c:scaling>
          <c:orientation val="minMax"/>
        </c:scaling>
        <c:delete val="1"/>
        <c:axPos val="b"/>
        <c:majorTickMark val="out"/>
        <c:minorTickMark val="none"/>
        <c:tickLblPos val="nextTo"/>
        <c:crossAx val="82187776"/>
        <c:crosses val="autoZero"/>
        <c:auto val="1"/>
        <c:lblAlgn val="ctr"/>
        <c:lblOffset val="100"/>
        <c:noMultiLvlLbl val="0"/>
      </c:catAx>
      <c:valAx>
        <c:axId val="82187776"/>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82186240"/>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73"/>
          <c:w val="0.5289375076352405"/>
          <c:h val="9.8958347597855115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325.5</c:v>
                </c:pt>
                <c:pt idx="1">
                  <c:v>126.62</c:v>
                </c:pt>
                <c:pt idx="2">
                  <c:v>280.32</c:v>
                </c:pt>
                <c:pt idx="3">
                  <c:v>97.83</c:v>
                </c:pt>
                <c:pt idx="4">
                  <c:v>188.87</c:v>
                </c:pt>
                <c:pt idx="5">
                  <c:v>169.73</c:v>
                </c:pt>
                <c:pt idx="6">
                  <c:v>150.37</c:v>
                </c:pt>
                <c:pt idx="7">
                  <c:v>238.92</c:v>
                </c:pt>
                <c:pt idx="8">
                  <c:v>119.75</c:v>
                </c:pt>
                <c:pt idx="9">
                  <c:v>109.6</c:v>
                </c:pt>
              </c:numCache>
            </c:numRef>
          </c:val>
        </c:ser>
        <c:ser>
          <c:idx val="0"/>
          <c:order val="1"/>
          <c:tx>
            <c:v>Elevasi Realisasi</c:v>
          </c:tx>
          <c:spPr>
            <a:ln w="25400">
              <a:solidFill>
                <a:srgbClr val="FF0000"/>
              </a:solidFill>
              <a:prstDash val="solid"/>
            </a:ln>
          </c:spPr>
          <c:invertIfNegative val="0"/>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324.72000000000003</c:v>
                </c:pt>
                <c:pt idx="1">
                  <c:v>129.19999999999999</c:v>
                </c:pt>
                <c:pt idx="2">
                  <c:v>282.77999999999997</c:v>
                </c:pt>
                <c:pt idx="3">
                  <c:v>98.84</c:v>
                </c:pt>
                <c:pt idx="4">
                  <c:v>189.4</c:v>
                </c:pt>
                <c:pt idx="5">
                  <c:v>171.4</c:v>
                </c:pt>
                <c:pt idx="6">
                  <c:v>153.15</c:v>
                </c:pt>
                <c:pt idx="7">
                  <c:v>238.48</c:v>
                </c:pt>
                <c:pt idx="8">
                  <c:v>120.75</c:v>
                </c:pt>
                <c:pt idx="9">
                  <c:v>110.55</c:v>
                </c:pt>
              </c:numCache>
            </c:numRef>
          </c:val>
        </c:ser>
        <c:dLbls>
          <c:showLegendKey val="0"/>
          <c:showVal val="0"/>
          <c:showCatName val="0"/>
          <c:showSerName val="0"/>
          <c:showPercent val="0"/>
          <c:showBubbleSize val="0"/>
        </c:dLbls>
        <c:gapWidth val="150"/>
        <c:axId val="82205696"/>
        <c:axId val="82240256"/>
      </c:barChart>
      <c:catAx>
        <c:axId val="8220569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82240256"/>
        <c:crossesAt val="0"/>
        <c:auto val="0"/>
        <c:lblAlgn val="ctr"/>
        <c:lblOffset val="100"/>
        <c:tickLblSkip val="1"/>
        <c:tickMarkSkip val="1"/>
        <c:noMultiLvlLbl val="0"/>
      </c:catAx>
      <c:valAx>
        <c:axId val="82240256"/>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8220569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6"/>
          <c:w val="0.3627003879138163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86" r="0.74803149606305586"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379"/>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30.20984</c:v>
                </c:pt>
                <c:pt idx="1">
                  <c:v>46.448554999999999</c:v>
                </c:pt>
                <c:pt idx="2">
                  <c:v>48.21</c:v>
                </c:pt>
                <c:pt idx="3">
                  <c:v>461.88152977056512</c:v>
                </c:pt>
                <c:pt idx="4">
                  <c:v>360.19709461399998</c:v>
                </c:pt>
                <c:pt idx="5">
                  <c:v>33.387</c:v>
                </c:pt>
                <c:pt idx="6">
                  <c:v>284.452</c:v>
                </c:pt>
                <c:pt idx="7">
                  <c:v>11.25</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showLegendKey val="0"/>
          <c:showVal val="0"/>
          <c:showCatName val="0"/>
          <c:showSerName val="0"/>
          <c:showPercent val="0"/>
          <c:showBubbleSize val="0"/>
        </c:dLbls>
        <c:gapWidth val="150"/>
        <c:axId val="90238976"/>
        <c:axId val="90240512"/>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30.20984</c:v>
                </c:pt>
                <c:pt idx="1">
                  <c:v>46.448554999999999</c:v>
                </c:pt>
                <c:pt idx="2">
                  <c:v>48.21</c:v>
                </c:pt>
                <c:pt idx="3">
                  <c:v>461.88152977056512</c:v>
                </c:pt>
                <c:pt idx="4">
                  <c:v>360.19709461399998</c:v>
                </c:pt>
                <c:pt idx="5">
                  <c:v>33.387</c:v>
                </c:pt>
                <c:pt idx="6">
                  <c:v>284.452</c:v>
                </c:pt>
                <c:pt idx="7">
                  <c:v>11.25</c:v>
                </c:pt>
              </c:numCache>
            </c:numRef>
          </c:cat>
          <c:val>
            <c:numRef>
              <c:f>'RINCI 1'!$F$9:$F$16</c:f>
              <c:numCache>
                <c:formatCode>_(* #,##0.00_);_(* \(#,##0.00\);_(* "-"??_);_(@_)</c:formatCode>
                <c:ptCount val="8"/>
                <c:pt idx="0">
                  <c:v>55.56</c:v>
                </c:pt>
                <c:pt idx="1">
                  <c:v>75.94</c:v>
                </c:pt>
                <c:pt idx="2">
                  <c:v>462.85</c:v>
                </c:pt>
                <c:pt idx="3">
                  <c:v>88.24</c:v>
                </c:pt>
                <c:pt idx="4">
                  <c:v>138.78</c:v>
                </c:pt>
                <c:pt idx="5">
                  <c:v>67</c:v>
                </c:pt>
                <c:pt idx="6">
                  <c:v>175.5</c:v>
                </c:pt>
                <c:pt idx="7">
                  <c:v>228.77</c:v>
                </c:pt>
              </c:numCache>
            </c:numRef>
          </c:val>
          <c:smooth val="0"/>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30.20984</c:v>
                </c:pt>
                <c:pt idx="1">
                  <c:v>46.448554999999999</c:v>
                </c:pt>
                <c:pt idx="2">
                  <c:v>48.21</c:v>
                </c:pt>
                <c:pt idx="3">
                  <c:v>461.88152977056512</c:v>
                </c:pt>
                <c:pt idx="4">
                  <c:v>360.19709461399998</c:v>
                </c:pt>
                <c:pt idx="5">
                  <c:v>33.387</c:v>
                </c:pt>
                <c:pt idx="6">
                  <c:v>284.452</c:v>
                </c:pt>
                <c:pt idx="7">
                  <c:v>11.25</c:v>
                </c:pt>
              </c:numCache>
            </c:numRef>
          </c:cat>
          <c:val>
            <c:numRef>
              <c:f>'RINCI 1'!$G$9:$G$16</c:f>
              <c:numCache>
                <c:formatCode>_(* #,##0.00_);_(* \(#,##0.00\);_(* "-"??_);_(@_)</c:formatCode>
                <c:ptCount val="8"/>
                <c:pt idx="0">
                  <c:v>55.61</c:v>
                </c:pt>
                <c:pt idx="1">
                  <c:v>77.099999999999994</c:v>
                </c:pt>
                <c:pt idx="2">
                  <c:v>463</c:v>
                </c:pt>
                <c:pt idx="3">
                  <c:v>85.03</c:v>
                </c:pt>
                <c:pt idx="4">
                  <c:v>135.88999999999999</c:v>
                </c:pt>
                <c:pt idx="5">
                  <c:v>70.099999999999994</c:v>
                </c:pt>
                <c:pt idx="6">
                  <c:v>174.4</c:v>
                </c:pt>
                <c:pt idx="7">
                  <c:v>229.84</c:v>
                </c:pt>
              </c:numCache>
            </c:numRef>
          </c:val>
          <c:smooth val="0"/>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ser>
        <c:dLbls>
          <c:showLegendKey val="0"/>
          <c:showVal val="0"/>
          <c:showCatName val="0"/>
          <c:showSerName val="0"/>
          <c:showPercent val="0"/>
          <c:showBubbleSize val="0"/>
        </c:dLbls>
        <c:marker val="1"/>
        <c:smooth val="0"/>
        <c:axId val="90242432"/>
        <c:axId val="90375680"/>
      </c:lineChart>
      <c:catAx>
        <c:axId val="90238976"/>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0240512"/>
        <c:crossesAt val="10"/>
        <c:auto val="0"/>
        <c:lblAlgn val="ctr"/>
        <c:lblOffset val="100"/>
        <c:tickLblSkip val="1"/>
        <c:tickMarkSkip val="1"/>
        <c:noMultiLvlLbl val="0"/>
      </c:catAx>
      <c:valAx>
        <c:axId val="90240512"/>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4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90238976"/>
        <c:crosses val="autoZero"/>
        <c:crossBetween val="between"/>
        <c:majorUnit val="100"/>
      </c:valAx>
      <c:catAx>
        <c:axId val="90242432"/>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95"/>
              <c:y val="0.56538899304253643"/>
            </c:manualLayout>
          </c:layout>
          <c:overlay val="0"/>
          <c:spPr>
            <a:noFill/>
            <a:ln w="25400">
              <a:noFill/>
            </a:ln>
          </c:spPr>
        </c:title>
        <c:numFmt formatCode="_(* #,##0.000_);_(* \(#,##0.000\);_(* &quot;-&quot;??_);_(@_)" sourceLinked="1"/>
        <c:majorTickMark val="out"/>
        <c:minorTickMark val="none"/>
        <c:tickLblPos val="nextTo"/>
        <c:crossAx val="90375680"/>
        <c:crosses val="autoZero"/>
        <c:auto val="0"/>
        <c:lblAlgn val="ctr"/>
        <c:lblOffset val="100"/>
        <c:noMultiLvlLbl val="0"/>
      </c:catAx>
      <c:valAx>
        <c:axId val="90375680"/>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16"/>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90242432"/>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74"/>
          <c:w val="0.61282400153381644"/>
          <c:h val="0.313844991598274"/>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numCache>
            </c:numRef>
          </c:val>
          <c:smooth val="0"/>
        </c:ser>
        <c:dLbls>
          <c:showLegendKey val="0"/>
          <c:showVal val="0"/>
          <c:showCatName val="0"/>
          <c:showSerName val="0"/>
          <c:showPercent val="0"/>
          <c:showBubbleSize val="0"/>
        </c:dLbls>
        <c:marker val="1"/>
        <c:smooth val="0"/>
        <c:axId val="72201344"/>
        <c:axId val="72202880"/>
      </c:lineChart>
      <c:catAx>
        <c:axId val="7220134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2202880"/>
        <c:crosses val="autoZero"/>
        <c:auto val="0"/>
        <c:lblAlgn val="ctr"/>
        <c:lblOffset val="100"/>
        <c:tickLblSkip val="1"/>
        <c:tickMarkSkip val="1"/>
        <c:noMultiLvlLbl val="0"/>
      </c:catAx>
      <c:valAx>
        <c:axId val="7220288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7220134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Waduk Rawa Pening 5 Tahun</a:t>
            </a:r>
            <a:endParaRPr lang="en-US" sz="1400">
              <a:effectLst/>
            </a:endParaRPr>
          </a:p>
        </c:rich>
      </c:tx>
      <c:overlay val="0"/>
    </c:title>
    <c:autoTitleDeleted val="0"/>
    <c:plotArea>
      <c:layout/>
      <c:lineChart>
        <c:grouping val="standard"/>
        <c:varyColors val="0"/>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mooth val="0"/>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mooth val="0"/>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mooth val="0"/>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numCache>
            </c:numRef>
          </c:val>
          <c:smooth val="0"/>
        </c:ser>
        <c:dLbls>
          <c:showLegendKey val="0"/>
          <c:showVal val="0"/>
          <c:showCatName val="0"/>
          <c:showSerName val="0"/>
          <c:showPercent val="0"/>
          <c:showBubbleSize val="0"/>
        </c:dLbls>
        <c:marker val="1"/>
        <c:smooth val="0"/>
        <c:axId val="73363456"/>
        <c:axId val="73364992"/>
      </c:lineChart>
      <c:catAx>
        <c:axId val="73363456"/>
        <c:scaling>
          <c:orientation val="minMax"/>
        </c:scaling>
        <c:delete val="0"/>
        <c:axPos val="b"/>
        <c:majorTickMark val="none"/>
        <c:minorTickMark val="none"/>
        <c:tickLblPos val="nextTo"/>
        <c:txPr>
          <a:bodyPr/>
          <a:lstStyle/>
          <a:p>
            <a:pPr>
              <a:defRPr lang="en-GB"/>
            </a:pPr>
            <a:endParaRPr lang="en-US"/>
          </a:p>
        </c:txPr>
        <c:crossAx val="73364992"/>
        <c:crosses val="autoZero"/>
        <c:auto val="1"/>
        <c:lblAlgn val="ctr"/>
        <c:lblOffset val="100"/>
        <c:noMultiLvlLbl val="0"/>
      </c:catAx>
      <c:valAx>
        <c:axId val="73364992"/>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73363456"/>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089" l="0.70000000000000062" r="0.70000000000000062" t="0.750000000000000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numCache>
            </c:numRef>
          </c:val>
          <c:smooth val="0"/>
        </c:ser>
        <c:dLbls>
          <c:showLegendKey val="0"/>
          <c:showVal val="0"/>
          <c:showCatName val="0"/>
          <c:showSerName val="0"/>
          <c:showPercent val="0"/>
          <c:showBubbleSize val="0"/>
        </c:dLbls>
        <c:marker val="1"/>
        <c:smooth val="0"/>
        <c:axId val="73735168"/>
        <c:axId val="73741056"/>
      </c:lineChart>
      <c:catAx>
        <c:axId val="73735168"/>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73741056"/>
        <c:crosses val="autoZero"/>
        <c:auto val="0"/>
        <c:lblAlgn val="ctr"/>
        <c:lblOffset val="100"/>
        <c:tickLblSkip val="1"/>
        <c:tickMarkSkip val="1"/>
        <c:noMultiLvlLbl val="0"/>
      </c:catAx>
      <c:valAx>
        <c:axId val="73741056"/>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73735168"/>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numCache>
            </c:numRef>
          </c:val>
          <c:smooth val="0"/>
        </c:ser>
        <c:dLbls>
          <c:showLegendKey val="0"/>
          <c:showVal val="0"/>
          <c:showCatName val="0"/>
          <c:showSerName val="0"/>
          <c:showPercent val="0"/>
          <c:showBubbleSize val="0"/>
        </c:dLbls>
        <c:marker val="1"/>
        <c:smooth val="0"/>
        <c:axId val="74388992"/>
        <c:axId val="74390528"/>
      </c:lineChart>
      <c:catAx>
        <c:axId val="7438899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4390528"/>
        <c:crossesAt val="0"/>
        <c:auto val="0"/>
        <c:lblAlgn val="ctr"/>
        <c:lblOffset val="100"/>
        <c:tickMarkSkip val="1"/>
        <c:noMultiLvlLbl val="0"/>
      </c:catAx>
      <c:valAx>
        <c:axId val="74390528"/>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4388992"/>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ser>
        <c:dLbls>
          <c:showLegendKey val="0"/>
          <c:showVal val="0"/>
          <c:showCatName val="0"/>
          <c:showSerName val="0"/>
          <c:showPercent val="0"/>
          <c:showBubbleSize val="0"/>
        </c:dLbls>
        <c:marker val="1"/>
        <c:smooth val="0"/>
        <c:axId val="74219904"/>
        <c:axId val="74221440"/>
      </c:lineChart>
      <c:catAx>
        <c:axId val="74219904"/>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74221440"/>
        <c:crosses val="autoZero"/>
        <c:auto val="0"/>
        <c:lblAlgn val="ctr"/>
        <c:lblOffset val="100"/>
        <c:tickLblSkip val="1"/>
        <c:tickMarkSkip val="1"/>
        <c:noMultiLvlLbl val="0"/>
      </c:catAx>
      <c:valAx>
        <c:axId val="7422144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74219904"/>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62"/>
          <c:y val="2.6862026862026871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mooth val="0"/>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mooth val="0"/>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mooth val="0"/>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mooth val="0"/>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mooth val="0"/>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mooth val="0"/>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mooth val="0"/>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mooth val="0"/>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numCache>
            </c:numRef>
          </c:val>
          <c:smooth val="0"/>
        </c:ser>
        <c:dLbls>
          <c:showLegendKey val="0"/>
          <c:showVal val="0"/>
          <c:showCatName val="0"/>
          <c:showSerName val="0"/>
          <c:showPercent val="0"/>
          <c:showBubbleSize val="0"/>
        </c:dLbls>
        <c:marker val="1"/>
        <c:smooth val="0"/>
        <c:axId val="74312704"/>
        <c:axId val="74326784"/>
      </c:lineChart>
      <c:catAx>
        <c:axId val="74312704"/>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74326784"/>
        <c:crosses val="autoZero"/>
        <c:auto val="0"/>
        <c:lblAlgn val="ctr"/>
        <c:lblOffset val="100"/>
        <c:tickLblSkip val="1"/>
        <c:tickMarkSkip val="1"/>
        <c:noMultiLvlLbl val="0"/>
      </c:catAx>
      <c:valAx>
        <c:axId val="74326784"/>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74312704"/>
        <c:crosses val="autoZero"/>
        <c:crossBetween val="between"/>
        <c:majorUnit val="50"/>
        <c:minorUnit val="10"/>
      </c:valAx>
      <c:dTable>
        <c:showHorzBorder val="1"/>
        <c:showVertBorder val="1"/>
        <c:showOutline val="1"/>
        <c:showKeys val="1"/>
        <c:txPr>
          <a:bodyPr/>
          <a:lstStyle/>
          <a:p>
            <a:pPr>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overlay val="0"/>
      <c:spPr>
        <a:noFill/>
        <a:ln w="25400">
          <a:noFill/>
        </a:ln>
      </c:spPr>
    </c:title>
    <c:autoTitleDeleted val="0"/>
    <c:plotArea>
      <c:layout/>
      <c:lineChart>
        <c:grouping val="standard"/>
        <c:varyColors val="0"/>
        <c:ser>
          <c:idx val="0"/>
          <c:order val="0"/>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mooth val="0"/>
        </c:ser>
        <c:ser>
          <c:idx val="1"/>
          <c:order val="1"/>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ser>
        <c:ser>
          <c:idx val="2"/>
          <c:order val="2"/>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ser>
        <c:ser>
          <c:idx val="3"/>
          <c:order val="3"/>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ser>
        <c:ser>
          <c:idx val="4"/>
          <c:order val="4"/>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numCache>
            </c:numRef>
          </c:val>
          <c:smooth val="0"/>
        </c:ser>
        <c:dLbls>
          <c:showLegendKey val="0"/>
          <c:showVal val="0"/>
          <c:showCatName val="0"/>
          <c:showSerName val="0"/>
          <c:showPercent val="0"/>
          <c:showBubbleSize val="0"/>
        </c:dLbls>
        <c:marker val="1"/>
        <c:smooth val="0"/>
        <c:axId val="74482432"/>
        <c:axId val="74483968"/>
      </c:lineChart>
      <c:catAx>
        <c:axId val="744824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4483968"/>
        <c:crossesAt val="0"/>
        <c:auto val="0"/>
        <c:lblAlgn val="ctr"/>
        <c:lblOffset val="100"/>
        <c:tickLblSkip val="1"/>
        <c:tickMarkSkip val="1"/>
        <c:noMultiLvlLbl val="0"/>
      </c:catAx>
      <c:valAx>
        <c:axId val="7448396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448243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numCache>
            </c:numRef>
          </c:val>
          <c:smooth val="0"/>
        </c:ser>
        <c:dLbls>
          <c:showLegendKey val="0"/>
          <c:showVal val="0"/>
          <c:showCatName val="0"/>
          <c:showSerName val="0"/>
          <c:showPercent val="0"/>
          <c:showBubbleSize val="0"/>
        </c:dLbls>
        <c:marker val="1"/>
        <c:smooth val="0"/>
        <c:axId val="74558848"/>
        <c:axId val="74568832"/>
      </c:lineChart>
      <c:catAx>
        <c:axId val="74558848"/>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74568832"/>
        <c:crossesAt val="0"/>
        <c:auto val="0"/>
        <c:lblAlgn val="ctr"/>
        <c:lblOffset val="100"/>
        <c:tickMarkSkip val="1"/>
        <c:noMultiLvlLbl val="0"/>
      </c:catAx>
      <c:valAx>
        <c:axId val="74568832"/>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74558848"/>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19049</xdr:colOff>
      <xdr:row>19</xdr:row>
      <xdr:rowOff>19050</xdr:rowOff>
    </xdr:from>
    <xdr:to>
      <xdr:col>10</xdr:col>
      <xdr:colOff>104774</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409574</xdr:colOff>
      <xdr:row>15</xdr:row>
      <xdr:rowOff>66675</xdr:rowOff>
    </xdr:from>
    <xdr:to>
      <xdr:col>9</xdr:col>
      <xdr:colOff>238125</xdr:colOff>
      <xdr:row>30</xdr:row>
      <xdr:rowOff>47625</xdr:rowOff>
    </xdr:to>
    <xdr:grpSp>
      <xdr:nvGrpSpPr>
        <xdr:cNvPr id="8" name="Group 7"/>
        <xdr:cNvGrpSpPr/>
      </xdr:nvGrpSpPr>
      <xdr:grpSpPr>
        <a:xfrm>
          <a:off x="101917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53"/>
  <sheetViews>
    <sheetView showGridLines="0" view="pageBreakPreview" topLeftCell="A13" zoomScaleNormal="90" zoomScaleSheetLayoutView="100" workbookViewId="0">
      <selection activeCell="L33" sqref="L33"/>
    </sheetView>
  </sheetViews>
  <sheetFormatPr defaultRowHeight="15.75" x14ac:dyDescent="0.2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2.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x14ac:dyDescent="0.25">
      <c r="B2" s="252" t="s">
        <v>170</v>
      </c>
      <c r="C2" s="252"/>
      <c r="D2" s="252"/>
      <c r="E2" s="252"/>
      <c r="F2" s="252"/>
      <c r="G2" s="252"/>
      <c r="H2" s="252"/>
      <c r="K2" s="252"/>
      <c r="L2" s="252"/>
      <c r="M2" s="252"/>
      <c r="N2" s="252"/>
      <c r="O2" s="252"/>
      <c r="P2" s="252"/>
    </row>
    <row r="3" spans="2:16" ht="16.5" thickBot="1" x14ac:dyDescent="0.3"/>
    <row r="4" spans="2:16" ht="27" customHeight="1" thickBot="1" x14ac:dyDescent="0.3">
      <c r="B4" s="571" t="s">
        <v>1</v>
      </c>
      <c r="C4" s="572">
        <v>2014</v>
      </c>
      <c r="D4" s="572">
        <v>2015</v>
      </c>
      <c r="E4" s="745">
        <v>2016</v>
      </c>
      <c r="F4" s="747">
        <v>2017</v>
      </c>
      <c r="G4" s="743">
        <v>2018</v>
      </c>
      <c r="H4" s="739">
        <v>2019</v>
      </c>
      <c r="I4" s="737">
        <v>2020</v>
      </c>
      <c r="K4" s="254"/>
      <c r="L4" s="255"/>
      <c r="M4" s="255"/>
      <c r="N4" s="255"/>
      <c r="O4" s="255"/>
      <c r="P4" s="255"/>
    </row>
    <row r="5" spans="2:16" ht="21" customHeight="1" thickBot="1" x14ac:dyDescent="0.3">
      <c r="B5" s="571" t="s">
        <v>2</v>
      </c>
      <c r="C5" s="735">
        <v>1269.796</v>
      </c>
      <c r="D5" s="735">
        <v>1220.8030000000001</v>
      </c>
      <c r="E5" s="746">
        <v>650.16999999999996</v>
      </c>
      <c r="F5" s="748">
        <v>1550.17</v>
      </c>
      <c r="G5" s="744">
        <v>1337.03</v>
      </c>
      <c r="H5" s="740">
        <v>685.98</v>
      </c>
      <c r="I5" s="738">
        <v>578.73</v>
      </c>
      <c r="K5" s="256"/>
      <c r="L5" s="257"/>
      <c r="M5" s="257"/>
      <c r="N5" s="257"/>
      <c r="O5" s="257"/>
      <c r="P5" s="257"/>
    </row>
    <row r="6" spans="2:16" ht="21" customHeight="1" thickBot="1" x14ac:dyDescent="0.3">
      <c r="B6" s="571" t="s">
        <v>3</v>
      </c>
      <c r="C6" s="735">
        <v>1337.1590000000001</v>
      </c>
      <c r="D6" s="735">
        <v>1468.3579999999999</v>
      </c>
      <c r="E6" s="746">
        <v>1032.74</v>
      </c>
      <c r="F6" s="748">
        <v>1611.58</v>
      </c>
      <c r="G6" s="744">
        <v>1607.51</v>
      </c>
      <c r="H6" s="741">
        <v>965.1</v>
      </c>
      <c r="I6" s="780">
        <v>933.5</v>
      </c>
      <c r="K6" s="256"/>
      <c r="L6" s="257"/>
      <c r="M6" s="257"/>
      <c r="N6" s="257"/>
      <c r="O6" s="257"/>
      <c r="P6" s="257"/>
    </row>
    <row r="7" spans="2:16" ht="21" customHeight="1" thickBot="1" x14ac:dyDescent="0.3">
      <c r="B7" s="571" t="s">
        <v>4</v>
      </c>
      <c r="C7" s="735">
        <v>1484.335</v>
      </c>
      <c r="D7" s="735">
        <v>1612.5889999999999</v>
      </c>
      <c r="E7" s="746">
        <v>1187.53</v>
      </c>
      <c r="F7" s="748">
        <v>1573.59</v>
      </c>
      <c r="G7" s="744">
        <v>1635.05</v>
      </c>
      <c r="H7" s="742">
        <v>1280.54</v>
      </c>
      <c r="I7" s="786">
        <v>1248.96</v>
      </c>
      <c r="K7" s="256"/>
      <c r="L7" s="257"/>
      <c r="M7" s="257"/>
      <c r="N7" s="257"/>
      <c r="O7" s="257"/>
      <c r="P7" s="257"/>
    </row>
    <row r="8" spans="2:16" ht="21" customHeight="1" thickBot="1" x14ac:dyDescent="0.3">
      <c r="B8" s="571" t="s">
        <v>5</v>
      </c>
      <c r="C8" s="736">
        <v>1562.1959999999999</v>
      </c>
      <c r="D8" s="735">
        <v>1742.549</v>
      </c>
      <c r="E8" s="746">
        <v>1298.76</v>
      </c>
      <c r="F8" s="748">
        <v>1646.07</v>
      </c>
      <c r="G8" s="744">
        <v>1530.75</v>
      </c>
      <c r="H8" s="742">
        <v>1321.99</v>
      </c>
      <c r="I8" s="786">
        <v>1325.65</v>
      </c>
      <c r="K8" s="256"/>
      <c r="L8" s="257"/>
      <c r="M8" s="257"/>
      <c r="N8" s="258"/>
      <c r="O8" s="257"/>
      <c r="P8" s="257"/>
    </row>
    <row r="9" spans="2:16" ht="21" customHeight="1" thickBot="1" x14ac:dyDescent="0.3">
      <c r="B9" s="571" t="s">
        <v>6</v>
      </c>
      <c r="C9" s="735">
        <v>1452.779</v>
      </c>
      <c r="D9" s="735">
        <v>1583.836</v>
      </c>
      <c r="E9" s="746">
        <v>1273.26</v>
      </c>
      <c r="F9" s="748">
        <v>1483.57</v>
      </c>
      <c r="G9" s="744">
        <v>1234.3800000000001</v>
      </c>
      <c r="H9" s="742">
        <v>1136.71</v>
      </c>
      <c r="I9" s="786">
        <v>1346.29</v>
      </c>
      <c r="J9" s="253" t="s">
        <v>273</v>
      </c>
      <c r="K9" s="256"/>
      <c r="L9" s="257"/>
      <c r="M9" s="257"/>
      <c r="N9" s="257"/>
      <c r="O9" s="257"/>
      <c r="P9" s="257"/>
    </row>
    <row r="10" spans="2:16" ht="21" customHeight="1" thickBot="1" x14ac:dyDescent="0.3">
      <c r="B10" s="571" t="s">
        <v>7</v>
      </c>
      <c r="C10" s="735">
        <v>1294.0350000000001</v>
      </c>
      <c r="D10" s="735">
        <v>1346.6769999999999</v>
      </c>
      <c r="E10" s="746">
        <v>1336.22</v>
      </c>
      <c r="F10" s="748">
        <v>1329.73</v>
      </c>
      <c r="G10" s="744">
        <v>1079.8900000000001</v>
      </c>
      <c r="H10" s="742">
        <v>834.59</v>
      </c>
      <c r="I10" s="738"/>
      <c r="K10" s="256"/>
      <c r="L10" s="257"/>
      <c r="M10" s="257"/>
      <c r="N10" s="257"/>
      <c r="O10" s="257"/>
      <c r="P10" s="257"/>
    </row>
    <row r="11" spans="2:16" ht="21" customHeight="1" thickBot="1" x14ac:dyDescent="0.3">
      <c r="B11" s="571" t="s">
        <v>8</v>
      </c>
      <c r="C11" s="735">
        <v>1227.848</v>
      </c>
      <c r="D11" s="735">
        <v>1171.5409999999999</v>
      </c>
      <c r="E11" s="746">
        <v>1300.4100000000001</v>
      </c>
      <c r="F11" s="748">
        <v>1186.18</v>
      </c>
      <c r="G11" s="744">
        <v>940.03</v>
      </c>
      <c r="H11" s="742">
        <v>660.7</v>
      </c>
      <c r="I11" s="738"/>
      <c r="K11" s="256"/>
      <c r="L11" s="257"/>
      <c r="M11" s="257"/>
      <c r="N11" s="257"/>
      <c r="O11" s="257"/>
      <c r="P11" s="257"/>
    </row>
    <row r="12" spans="2:16" ht="21" customHeight="1" thickBot="1" x14ac:dyDescent="0.3">
      <c r="B12" s="571" t="s">
        <v>9</v>
      </c>
      <c r="C12" s="735">
        <v>1128.5830000000001</v>
      </c>
      <c r="D12" s="735">
        <v>1014.437</v>
      </c>
      <c r="E12" s="746">
        <v>1196.1300000000001</v>
      </c>
      <c r="F12" s="748">
        <v>1086.54</v>
      </c>
      <c r="G12" s="744">
        <v>806.04</v>
      </c>
      <c r="H12" s="742">
        <v>572.89</v>
      </c>
      <c r="I12" s="738"/>
      <c r="K12" s="256"/>
      <c r="L12" s="257"/>
      <c r="M12" s="257"/>
      <c r="N12" s="257"/>
      <c r="O12" s="257"/>
      <c r="P12" s="257"/>
    </row>
    <row r="13" spans="2:16" ht="21" customHeight="1" thickBot="1" x14ac:dyDescent="0.3">
      <c r="B13" s="571" t="s">
        <v>10</v>
      </c>
      <c r="C13" s="735">
        <v>894.4</v>
      </c>
      <c r="D13" s="735">
        <v>741.67</v>
      </c>
      <c r="E13" s="746">
        <v>1227.3900000000001</v>
      </c>
      <c r="F13" s="748">
        <v>952.17</v>
      </c>
      <c r="G13" s="744">
        <v>687.02</v>
      </c>
      <c r="H13" s="742">
        <v>499.63</v>
      </c>
      <c r="I13" s="738"/>
      <c r="K13" s="256"/>
      <c r="L13" s="257"/>
      <c r="M13" s="257"/>
      <c r="N13" s="257"/>
      <c r="O13" s="257"/>
      <c r="P13" s="257"/>
    </row>
    <row r="14" spans="2:16" ht="21" customHeight="1" thickBot="1" x14ac:dyDescent="0.3">
      <c r="B14" s="571" t="s">
        <v>11</v>
      </c>
      <c r="C14" s="735">
        <v>684.84299999999996</v>
      </c>
      <c r="D14" s="735">
        <v>545.95499999999993</v>
      </c>
      <c r="E14" s="746">
        <v>1339.74</v>
      </c>
      <c r="F14" s="748">
        <v>838.66</v>
      </c>
      <c r="G14" s="744">
        <v>469.1</v>
      </c>
      <c r="H14" s="742">
        <v>442.28</v>
      </c>
      <c r="I14" s="738"/>
      <c r="K14" s="256"/>
      <c r="L14" s="257"/>
      <c r="M14" s="257"/>
      <c r="N14" s="257"/>
      <c r="O14" s="257"/>
      <c r="P14" s="257"/>
    </row>
    <row r="15" spans="2:16" ht="21" customHeight="1" thickBot="1" x14ac:dyDescent="0.3">
      <c r="B15" s="571" t="s">
        <v>12</v>
      </c>
      <c r="C15" s="735">
        <v>616.87599999999998</v>
      </c>
      <c r="D15" s="735">
        <v>411.75</v>
      </c>
      <c r="E15" s="746">
        <v>1429.53</v>
      </c>
      <c r="F15" s="748">
        <v>888.13</v>
      </c>
      <c r="G15" s="744">
        <v>399.15</v>
      </c>
      <c r="H15" s="742">
        <v>296.16000000000003</v>
      </c>
      <c r="I15" s="738"/>
      <c r="K15" s="256"/>
      <c r="L15" s="257"/>
      <c r="M15" s="257"/>
      <c r="N15" s="257"/>
      <c r="O15" s="257"/>
      <c r="P15" s="257"/>
    </row>
    <row r="16" spans="2:16" ht="21" customHeight="1" thickBot="1" x14ac:dyDescent="0.3">
      <c r="B16" s="571" t="s">
        <v>13</v>
      </c>
      <c r="C16" s="735">
        <v>1019.625</v>
      </c>
      <c r="D16" s="735">
        <v>567.84</v>
      </c>
      <c r="E16" s="746">
        <v>1359.37</v>
      </c>
      <c r="F16" s="748">
        <v>1107.76</v>
      </c>
      <c r="G16" s="744">
        <v>474.56</v>
      </c>
      <c r="H16" s="742">
        <v>318.35000000000002</v>
      </c>
      <c r="I16" s="738"/>
      <c r="J16" s="733"/>
      <c r="K16" s="724"/>
      <c r="L16" s="259"/>
      <c r="M16" s="259"/>
      <c r="N16" s="259"/>
      <c r="O16" s="259"/>
      <c r="P16" s="259"/>
    </row>
    <row r="18" spans="5:5" x14ac:dyDescent="0.25">
      <c r="E18" s="253" t="s">
        <v>311</v>
      </c>
    </row>
    <row r="47" spans="2:11" x14ac:dyDescent="0.25">
      <c r="B47" s="260"/>
      <c r="K47" s="260"/>
    </row>
    <row r="49" spans="2:11" x14ac:dyDescent="0.25">
      <c r="B49" s="260"/>
      <c r="K49" s="260"/>
    </row>
    <row r="50" spans="2:11" x14ac:dyDescent="0.25">
      <c r="C50" s="260"/>
    </row>
    <row r="52" spans="2:11" x14ac:dyDescent="0.25">
      <c r="B52" s="260" t="s">
        <v>14</v>
      </c>
    </row>
    <row r="53" spans="2:11" x14ac:dyDescent="0.25">
      <c r="B53" s="260"/>
    </row>
  </sheetData>
  <printOptions horizontalCentered="1"/>
  <pageMargins left="7.874015748031496E-2" right="7.874015748031496E-2"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3"/>
  <sheetViews>
    <sheetView workbookViewId="0">
      <selection activeCell="K5" sqref="K5:K16"/>
    </sheetView>
  </sheetViews>
  <sheetFormatPr defaultRowHeight="12.75" x14ac:dyDescent="0.2"/>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x14ac:dyDescent="0.3">
      <c r="B2" s="268" t="s">
        <v>173</v>
      </c>
      <c r="C2" s="268"/>
      <c r="D2" s="268"/>
      <c r="E2" s="268"/>
      <c r="F2" s="268"/>
      <c r="G2" s="268"/>
    </row>
    <row r="3" spans="2:11" ht="13.5" thickBot="1" x14ac:dyDescent="0.25"/>
    <row r="4" spans="2:11" ht="21" customHeight="1" x14ac:dyDescent="0.3">
      <c r="B4" s="153" t="s">
        <v>1</v>
      </c>
      <c r="C4" s="147" t="s">
        <v>130</v>
      </c>
      <c r="D4" s="147" t="s">
        <v>132</v>
      </c>
      <c r="E4" s="147" t="s">
        <v>152</v>
      </c>
      <c r="F4" s="157" t="s">
        <v>156</v>
      </c>
      <c r="G4" s="157" t="s">
        <v>228</v>
      </c>
      <c r="H4" s="148" t="s">
        <v>297</v>
      </c>
      <c r="I4" s="148" t="s">
        <v>298</v>
      </c>
      <c r="J4" s="148" t="s">
        <v>300</v>
      </c>
      <c r="K4" s="753" t="s">
        <v>305</v>
      </c>
    </row>
    <row r="5" spans="2:11" ht="18.95" customHeight="1" x14ac:dyDescent="0.25">
      <c r="B5" s="74" t="s">
        <v>2</v>
      </c>
      <c r="C5" s="75">
        <v>36.750999999999998</v>
      </c>
      <c r="D5" s="75">
        <v>38.158999999999999</v>
      </c>
      <c r="E5" s="75">
        <v>29.73</v>
      </c>
      <c r="F5" s="76">
        <v>33.709000000000003</v>
      </c>
      <c r="G5" s="76">
        <v>27.954999999999998</v>
      </c>
      <c r="H5" s="149">
        <v>36.86</v>
      </c>
      <c r="I5" s="149">
        <v>29.375</v>
      </c>
      <c r="J5" s="149">
        <v>36.880000000000003</v>
      </c>
      <c r="K5" s="782">
        <v>15.28</v>
      </c>
    </row>
    <row r="6" spans="2:11" ht="18.95" customHeight="1" x14ac:dyDescent="0.25">
      <c r="B6" s="74" t="s">
        <v>3</v>
      </c>
      <c r="C6" s="75">
        <v>37.896999999999998</v>
      </c>
      <c r="D6" s="75">
        <v>34.423999999999999</v>
      </c>
      <c r="E6" s="75">
        <v>28.811</v>
      </c>
      <c r="F6" s="76">
        <v>31.7</v>
      </c>
      <c r="G6" s="76">
        <v>29.751000000000001</v>
      </c>
      <c r="H6" s="149">
        <v>37.067999999999998</v>
      </c>
      <c r="I6" s="149">
        <v>34.119</v>
      </c>
      <c r="J6" s="149">
        <v>38.646999999999998</v>
      </c>
      <c r="K6" s="782">
        <v>27.675000000000001</v>
      </c>
    </row>
    <row r="7" spans="2:11" ht="18.95" customHeight="1" x14ac:dyDescent="0.25">
      <c r="B7" s="74" t="s">
        <v>4</v>
      </c>
      <c r="C7" s="75">
        <v>35.927999999999997</v>
      </c>
      <c r="D7" s="75">
        <v>33.235999999999997</v>
      </c>
      <c r="E7" s="75">
        <v>26.253</v>
      </c>
      <c r="F7" s="76">
        <v>38.134999999999998</v>
      </c>
      <c r="G7" s="76">
        <v>30.577999999999999</v>
      </c>
      <c r="H7" s="149">
        <v>32.213999999999999</v>
      </c>
      <c r="I7" s="149">
        <v>32.002000000000002</v>
      </c>
      <c r="J7" s="149">
        <v>35.709000000000003</v>
      </c>
      <c r="K7" s="782"/>
    </row>
    <row r="8" spans="2:11" ht="18.95" customHeight="1" x14ac:dyDescent="0.25">
      <c r="B8" s="74" t="s">
        <v>5</v>
      </c>
      <c r="C8" s="75">
        <v>27.501000000000001</v>
      </c>
      <c r="D8" s="75">
        <v>32.987000000000002</v>
      </c>
      <c r="E8" s="75">
        <v>27.809000000000001</v>
      </c>
      <c r="F8" s="76">
        <v>37.720999999999997</v>
      </c>
      <c r="G8" s="76">
        <v>35.856000000000002</v>
      </c>
      <c r="H8" s="149">
        <v>27.913</v>
      </c>
      <c r="I8" s="149">
        <v>33.582999999999998</v>
      </c>
      <c r="J8" s="149">
        <v>27.478000000000002</v>
      </c>
      <c r="K8" s="782"/>
    </row>
    <row r="9" spans="2:11" ht="18.95" customHeight="1" x14ac:dyDescent="0.25">
      <c r="B9" s="74" t="s">
        <v>6</v>
      </c>
      <c r="C9" s="75">
        <v>28.02</v>
      </c>
      <c r="D9" s="75">
        <v>27.655000000000001</v>
      </c>
      <c r="E9" s="75">
        <v>25.003</v>
      </c>
      <c r="F9" s="76">
        <v>29.332999999999998</v>
      </c>
      <c r="G9" s="76">
        <v>35.505000000000003</v>
      </c>
      <c r="H9" s="149">
        <v>16.221</v>
      </c>
      <c r="I9" s="149">
        <v>18.97</v>
      </c>
      <c r="J9" s="149">
        <v>11.813000000000001</v>
      </c>
      <c r="K9" s="782"/>
    </row>
    <row r="10" spans="2:11" ht="18.95" customHeight="1" x14ac:dyDescent="0.25">
      <c r="B10" s="74" t="s">
        <v>7</v>
      </c>
      <c r="C10" s="75">
        <v>18.68</v>
      </c>
      <c r="D10" s="75">
        <v>32.578000000000003</v>
      </c>
      <c r="E10" s="75">
        <v>19.401</v>
      </c>
      <c r="F10" s="76">
        <v>18.783999999999999</v>
      </c>
      <c r="G10" s="76">
        <v>34.338000000000001</v>
      </c>
      <c r="H10" s="149">
        <v>10.521000000000001</v>
      </c>
      <c r="I10" s="149">
        <v>8.2940000000000005</v>
      </c>
      <c r="J10" s="149">
        <v>3.173</v>
      </c>
      <c r="K10" s="782"/>
    </row>
    <row r="11" spans="2:11" ht="18.95" customHeight="1" x14ac:dyDescent="0.25">
      <c r="B11" s="74" t="s">
        <v>8</v>
      </c>
      <c r="C11" s="75">
        <v>12.173999999999999</v>
      </c>
      <c r="D11" s="75">
        <v>35.573</v>
      </c>
      <c r="E11" s="75">
        <v>16.882000000000001</v>
      </c>
      <c r="F11" s="76">
        <v>9.6319999999999997</v>
      </c>
      <c r="G11" s="76">
        <v>33.031999999999996</v>
      </c>
      <c r="H11" s="149">
        <v>11.105</v>
      </c>
      <c r="I11" s="149">
        <v>7.0549999999999997</v>
      </c>
      <c r="J11" s="149">
        <v>2.4670000000000001</v>
      </c>
      <c r="K11" s="782"/>
    </row>
    <row r="12" spans="2:11" ht="18.95" customHeight="1" x14ac:dyDescent="0.25">
      <c r="B12" s="74" t="s">
        <v>9</v>
      </c>
      <c r="C12" s="75">
        <v>11.875999999999999</v>
      </c>
      <c r="D12" s="75">
        <v>35.213999999999999</v>
      </c>
      <c r="E12" s="75">
        <v>17.323</v>
      </c>
      <c r="F12" s="76">
        <v>7.7830000000000004</v>
      </c>
      <c r="G12" s="76">
        <v>35.338000000000001</v>
      </c>
      <c r="H12" s="149">
        <v>11.010999999999999</v>
      </c>
      <c r="I12" s="149">
        <v>6.6219999999999999</v>
      </c>
      <c r="J12" s="149">
        <v>1.411</v>
      </c>
      <c r="K12" s="782"/>
    </row>
    <row r="13" spans="2:11" ht="18.95" customHeight="1" x14ac:dyDescent="0.25">
      <c r="B13" s="74" t="s">
        <v>10</v>
      </c>
      <c r="C13" s="75">
        <v>11.587999999999999</v>
      </c>
      <c r="D13" s="75">
        <v>33.070999999999998</v>
      </c>
      <c r="E13" s="75">
        <v>16.841000000000001</v>
      </c>
      <c r="F13" s="76">
        <v>7.327</v>
      </c>
      <c r="G13" s="76">
        <v>35.203000000000003</v>
      </c>
      <c r="H13" s="149">
        <v>10.988</v>
      </c>
      <c r="I13" s="149">
        <v>6.3609999999999998</v>
      </c>
      <c r="J13" s="149">
        <v>1.0900000000000001</v>
      </c>
      <c r="K13" s="782"/>
    </row>
    <row r="14" spans="2:11" ht="18.95" customHeight="1" x14ac:dyDescent="0.25">
      <c r="B14" s="74" t="s">
        <v>11</v>
      </c>
      <c r="C14" s="75">
        <v>14.84</v>
      </c>
      <c r="D14" s="75">
        <v>31.713999999999999</v>
      </c>
      <c r="E14" s="75">
        <v>20.619</v>
      </c>
      <c r="F14" s="76">
        <v>6.7839999999999998</v>
      </c>
      <c r="G14" s="76">
        <v>35.658000000000001</v>
      </c>
      <c r="H14" s="149">
        <v>23.466999999999999</v>
      </c>
      <c r="I14" s="149">
        <v>6.0449999999999999</v>
      </c>
      <c r="J14" s="149">
        <v>0.65900000000000003</v>
      </c>
      <c r="K14" s="782"/>
    </row>
    <row r="15" spans="2:11" ht="18.95" customHeight="1" x14ac:dyDescent="0.25">
      <c r="B15" s="74" t="s">
        <v>12</v>
      </c>
      <c r="C15" s="75">
        <v>18.68</v>
      </c>
      <c r="D15" s="75">
        <v>29.584</v>
      </c>
      <c r="E15" s="75">
        <v>30.210999999999999</v>
      </c>
      <c r="F15" s="76">
        <v>18.027000000000001</v>
      </c>
      <c r="G15" s="76">
        <v>36.579000000000001</v>
      </c>
      <c r="H15" s="149">
        <v>26.876000000000001</v>
      </c>
      <c r="I15" s="149">
        <v>18.172000000000001</v>
      </c>
      <c r="J15" s="149">
        <v>2.109</v>
      </c>
      <c r="K15" s="782"/>
    </row>
    <row r="16" spans="2:11" ht="18.95" customHeight="1" thickBot="1" x14ac:dyDescent="0.3">
      <c r="B16" s="77" t="s">
        <v>13</v>
      </c>
      <c r="C16" s="79">
        <v>38.036000000000001</v>
      </c>
      <c r="D16" s="79">
        <v>29.584</v>
      </c>
      <c r="E16" s="79">
        <v>36.965000000000003</v>
      </c>
      <c r="F16" s="80">
        <v>33.578000000000003</v>
      </c>
      <c r="G16" s="80">
        <v>27.675000000000001</v>
      </c>
      <c r="H16" s="150">
        <v>32.055</v>
      </c>
      <c r="I16" s="150">
        <v>29.62</v>
      </c>
      <c r="J16" s="150">
        <v>4.6820000000000004</v>
      </c>
      <c r="K16" s="783"/>
    </row>
    <row r="17" spans="2:7" ht="18.95" customHeight="1" x14ac:dyDescent="0.25">
      <c r="B17" s="145"/>
      <c r="C17" s="144"/>
      <c r="D17" s="144"/>
      <c r="E17" s="144"/>
      <c r="F17" s="144"/>
      <c r="G17" s="144"/>
    </row>
    <row r="18" spans="2:7" ht="18.95" customHeight="1" x14ac:dyDescent="0.25">
      <c r="B18" s="145"/>
      <c r="C18" s="144"/>
      <c r="D18" s="144"/>
      <c r="E18" s="144"/>
      <c r="F18" s="144"/>
      <c r="G18" s="144"/>
    </row>
    <row r="51" spans="2:3" x14ac:dyDescent="0.2">
      <c r="B51" s="280" t="s">
        <v>14</v>
      </c>
      <c r="C51" s="280"/>
    </row>
    <row r="52" spans="2:3" x14ac:dyDescent="0.2">
      <c r="B52" s="280" t="s">
        <v>15</v>
      </c>
    </row>
    <row r="53" spans="2:3" x14ac:dyDescent="0.2">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K51"/>
  <sheetViews>
    <sheetView workbookViewId="0">
      <selection activeCell="K9" sqref="K9"/>
    </sheetView>
  </sheetViews>
  <sheetFormatPr defaultRowHeight="12.75" x14ac:dyDescent="0.2"/>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x14ac:dyDescent="0.3">
      <c r="B3" s="823" t="s">
        <v>174</v>
      </c>
      <c r="C3" s="823"/>
      <c r="D3" s="823"/>
      <c r="E3" s="823"/>
      <c r="F3" s="823"/>
      <c r="G3" s="823"/>
      <c r="H3" s="823"/>
      <c r="I3" s="823"/>
      <c r="J3" s="823"/>
    </row>
    <row r="4" spans="2:11" ht="13.5" thickBot="1" x14ac:dyDescent="0.25"/>
    <row r="5" spans="2:11" ht="24.95" customHeight="1" x14ac:dyDescent="0.3">
      <c r="B5" s="72" t="s">
        <v>1</v>
      </c>
      <c r="C5" s="73" t="s">
        <v>130</v>
      </c>
      <c r="D5" s="73" t="s">
        <v>132</v>
      </c>
      <c r="E5" s="73" t="s">
        <v>152</v>
      </c>
      <c r="F5" s="81">
        <v>2015</v>
      </c>
      <c r="G5" s="81">
        <v>2016</v>
      </c>
      <c r="H5" s="148" t="s">
        <v>297</v>
      </c>
      <c r="I5" s="148" t="s">
        <v>298</v>
      </c>
      <c r="J5" s="148" t="s">
        <v>300</v>
      </c>
      <c r="K5" s="753" t="s">
        <v>305</v>
      </c>
    </row>
    <row r="6" spans="2:11" ht="18.95" customHeight="1" x14ac:dyDescent="0.25">
      <c r="B6" s="74" t="s">
        <v>2</v>
      </c>
      <c r="C6" s="75">
        <v>16.97</v>
      </c>
      <c r="D6" s="75">
        <v>19.86</v>
      </c>
      <c r="E6" s="75">
        <v>11.94</v>
      </c>
      <c r="F6" s="76">
        <v>21.72</v>
      </c>
      <c r="G6" s="76">
        <v>16.93</v>
      </c>
      <c r="H6" s="149">
        <v>15.92</v>
      </c>
      <c r="I6" s="149">
        <v>13.72</v>
      </c>
      <c r="J6" s="149">
        <v>14.84</v>
      </c>
      <c r="K6" s="782">
        <v>6.0919999999999996</v>
      </c>
    </row>
    <row r="7" spans="2:11" ht="18.95" customHeight="1" x14ac:dyDescent="0.25">
      <c r="B7" s="74" t="s">
        <v>3</v>
      </c>
      <c r="C7" s="75">
        <v>19.399999999999999</v>
      </c>
      <c r="D7" s="75">
        <v>13.22</v>
      </c>
      <c r="E7" s="75">
        <v>13.22</v>
      </c>
      <c r="F7" s="76">
        <v>15.3</v>
      </c>
      <c r="G7" s="76">
        <v>16.809999999999999</v>
      </c>
      <c r="H7" s="149">
        <v>15.927</v>
      </c>
      <c r="I7" s="149">
        <v>9.89</v>
      </c>
      <c r="J7" s="149">
        <v>14.84</v>
      </c>
      <c r="K7" s="782">
        <v>8.6419999999999995</v>
      </c>
    </row>
    <row r="8" spans="2:11" ht="18.95" customHeight="1" x14ac:dyDescent="0.25">
      <c r="B8" s="74" t="s">
        <v>4</v>
      </c>
      <c r="C8" s="75">
        <v>13.01</v>
      </c>
      <c r="D8" s="75">
        <v>12.61</v>
      </c>
      <c r="E8" s="75">
        <v>19.7</v>
      </c>
      <c r="F8" s="76">
        <v>20.84</v>
      </c>
      <c r="G8" s="76">
        <v>27.52</v>
      </c>
      <c r="H8" s="149">
        <v>15.92</v>
      </c>
      <c r="I8" s="149">
        <v>12.08</v>
      </c>
      <c r="J8" s="149">
        <v>14.52</v>
      </c>
      <c r="K8" s="782"/>
    </row>
    <row r="9" spans="2:11" ht="18.95" customHeight="1" x14ac:dyDescent="0.25">
      <c r="B9" s="74" t="s">
        <v>5</v>
      </c>
      <c r="C9" s="75">
        <v>17.420000000000002</v>
      </c>
      <c r="D9" s="75">
        <v>11.44</v>
      </c>
      <c r="E9" s="75">
        <v>23.64</v>
      </c>
      <c r="F9" s="76">
        <v>16.420000000000002</v>
      </c>
      <c r="G9" s="76">
        <v>15.98</v>
      </c>
      <c r="H9" s="149">
        <v>9.67</v>
      </c>
      <c r="I9" s="149">
        <v>11.75</v>
      </c>
      <c r="J9" s="149">
        <v>10.99</v>
      </c>
      <c r="K9" s="782"/>
    </row>
    <row r="10" spans="2:11" ht="18.95" customHeight="1" x14ac:dyDescent="0.25">
      <c r="B10" s="74" t="s">
        <v>6</v>
      </c>
      <c r="C10" s="75">
        <v>18.600000000000001</v>
      </c>
      <c r="D10" s="75">
        <v>22.67</v>
      </c>
      <c r="E10" s="75">
        <v>27.92</v>
      </c>
      <c r="F10" s="76">
        <v>20.84</v>
      </c>
      <c r="G10" s="76">
        <v>16.489999999999998</v>
      </c>
      <c r="H10" s="149">
        <v>17.48</v>
      </c>
      <c r="I10" s="149">
        <v>11.75</v>
      </c>
      <c r="J10" s="149">
        <v>11.26</v>
      </c>
      <c r="K10" s="782"/>
    </row>
    <row r="11" spans="2:11" ht="18.95" customHeight="1" x14ac:dyDescent="0.25">
      <c r="B11" s="74" t="s">
        <v>7</v>
      </c>
      <c r="C11" s="75">
        <v>13.09</v>
      </c>
      <c r="D11" s="75">
        <v>15.58</v>
      </c>
      <c r="E11" s="75">
        <v>20.83</v>
      </c>
      <c r="F11" s="76">
        <v>27.26</v>
      </c>
      <c r="G11" s="76">
        <v>19.579999999999998</v>
      </c>
      <c r="H11" s="149">
        <v>9.51</v>
      </c>
      <c r="I11" s="149">
        <v>17.86</v>
      </c>
      <c r="J11" s="149">
        <v>6.61</v>
      </c>
      <c r="K11" s="782"/>
    </row>
    <row r="12" spans="2:11" ht="18.95" customHeight="1" x14ac:dyDescent="0.25">
      <c r="B12" s="74" t="s">
        <v>8</v>
      </c>
      <c r="C12" s="75">
        <v>27.16</v>
      </c>
      <c r="D12" s="75">
        <v>23.06</v>
      </c>
      <c r="E12" s="75">
        <v>21.51</v>
      </c>
      <c r="F12" s="76">
        <v>24.16</v>
      </c>
      <c r="G12" s="76">
        <v>19.579999999999998</v>
      </c>
      <c r="H12" s="149">
        <v>22.34</v>
      </c>
      <c r="I12" s="149">
        <v>17.86</v>
      </c>
      <c r="J12" s="149">
        <v>6.8559999999999999</v>
      </c>
      <c r="K12" s="782"/>
    </row>
    <row r="13" spans="2:11" ht="18.95" customHeight="1" x14ac:dyDescent="0.25">
      <c r="B13" s="74" t="s">
        <v>9</v>
      </c>
      <c r="C13" s="75">
        <v>21.03</v>
      </c>
      <c r="D13" s="75">
        <v>21.6</v>
      </c>
      <c r="E13" s="75">
        <v>13.67</v>
      </c>
      <c r="F13" s="76">
        <v>24.16</v>
      </c>
      <c r="G13" s="76">
        <v>19.579999999999998</v>
      </c>
      <c r="H13" s="149">
        <v>19.8</v>
      </c>
      <c r="I13" s="149">
        <v>15.58</v>
      </c>
      <c r="J13" s="149">
        <v>7.3120000000000003</v>
      </c>
      <c r="K13" s="782"/>
    </row>
    <row r="14" spans="2:11" ht="18.95" customHeight="1" x14ac:dyDescent="0.25">
      <c r="B14" s="74" t="s">
        <v>10</v>
      </c>
      <c r="C14" s="75">
        <v>19.66</v>
      </c>
      <c r="D14" s="75">
        <v>16.739999999999998</v>
      </c>
      <c r="E14" s="75">
        <v>9.57</v>
      </c>
      <c r="F14" s="76">
        <v>12.23</v>
      </c>
      <c r="G14" s="76">
        <v>17.75</v>
      </c>
      <c r="H14" s="149">
        <v>20.25</v>
      </c>
      <c r="I14" s="149">
        <v>13.43</v>
      </c>
      <c r="J14" s="149">
        <v>9.61</v>
      </c>
      <c r="K14" s="782"/>
    </row>
    <row r="15" spans="2:11" ht="18.95" customHeight="1" x14ac:dyDescent="0.25">
      <c r="B15" s="74" t="s">
        <v>11</v>
      </c>
      <c r="C15" s="75">
        <v>16.36</v>
      </c>
      <c r="D15" s="75">
        <v>17.63</v>
      </c>
      <c r="E15" s="75">
        <v>13.15</v>
      </c>
      <c r="F15" s="76">
        <v>14.05</v>
      </c>
      <c r="G15" s="76">
        <v>15.92</v>
      </c>
      <c r="H15" s="149">
        <v>14.6</v>
      </c>
      <c r="I15" s="149">
        <v>12.3</v>
      </c>
      <c r="J15" s="149">
        <v>6.78</v>
      </c>
      <c r="K15" s="782"/>
    </row>
    <row r="16" spans="2:11" ht="18.95" customHeight="1" x14ac:dyDescent="0.25">
      <c r="B16" s="74" t="s">
        <v>12</v>
      </c>
      <c r="C16" s="75">
        <v>19.91</v>
      </c>
      <c r="D16" s="75">
        <v>12.47</v>
      </c>
      <c r="E16" s="75">
        <v>22.49</v>
      </c>
      <c r="F16" s="76">
        <v>16.36</v>
      </c>
      <c r="G16" s="76">
        <v>15.07</v>
      </c>
      <c r="H16" s="149">
        <v>12.79</v>
      </c>
      <c r="I16" s="149">
        <v>12.3</v>
      </c>
      <c r="J16" s="149">
        <v>6.39</v>
      </c>
      <c r="K16" s="782"/>
    </row>
    <row r="17" spans="2:11" ht="18.95" customHeight="1" thickBot="1" x14ac:dyDescent="0.3">
      <c r="B17" s="77" t="s">
        <v>13</v>
      </c>
      <c r="C17" s="79">
        <v>15.88</v>
      </c>
      <c r="D17" s="79">
        <v>18.350000000000001</v>
      </c>
      <c r="E17" s="79">
        <v>20.83</v>
      </c>
      <c r="F17" s="80">
        <v>18.399999999999999</v>
      </c>
      <c r="G17" s="80">
        <v>15.92</v>
      </c>
      <c r="H17" s="150">
        <v>10.82</v>
      </c>
      <c r="I17" s="150">
        <v>14.84</v>
      </c>
      <c r="J17" s="150">
        <v>4.5789999999999997</v>
      </c>
      <c r="K17" s="783"/>
    </row>
    <row r="49" spans="2:3" x14ac:dyDescent="0.2">
      <c r="B49" s="280"/>
    </row>
    <row r="50" spans="2:3" x14ac:dyDescent="0.2">
      <c r="B50" s="280" t="s">
        <v>14</v>
      </c>
      <c r="C50" s="280"/>
    </row>
    <row r="51" spans="2:3" x14ac:dyDescent="0.2">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61"/>
  <sheetViews>
    <sheetView topLeftCell="A10" workbookViewId="0">
      <selection activeCell="H43" sqref="H43"/>
    </sheetView>
  </sheetViews>
  <sheetFormatPr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825" t="s">
        <v>16</v>
      </c>
      <c r="B3" s="825"/>
      <c r="C3" s="825"/>
      <c r="D3" s="825"/>
      <c r="E3" s="825"/>
      <c r="F3" s="825"/>
      <c r="G3" s="825"/>
      <c r="H3" s="825"/>
      <c r="I3" s="825"/>
    </row>
    <row r="4" spans="1:14" ht="21" x14ac:dyDescent="0.2">
      <c r="A4" s="825" t="s">
        <v>17</v>
      </c>
      <c r="B4" s="825"/>
      <c r="C4" s="825"/>
      <c r="D4" s="825"/>
      <c r="E4" s="825"/>
      <c r="F4" s="825"/>
      <c r="G4" s="825"/>
      <c r="H4" s="825"/>
      <c r="I4" s="825"/>
    </row>
    <row r="5" spans="1:14" ht="21" x14ac:dyDescent="0.35">
      <c r="A5" s="826" t="str">
        <f>+UTAMA!B4</f>
        <v xml:space="preserve">MINGGU KE  II MEI  ( 5 MEI S/D 11 MEI 2020) dalam Juta m3  </v>
      </c>
      <c r="B5" s="826"/>
      <c r="C5" s="826"/>
      <c r="D5" s="826"/>
      <c r="E5" s="826"/>
      <c r="F5" s="826"/>
      <c r="G5" s="826"/>
      <c r="H5" s="826"/>
      <c r="I5" s="826"/>
    </row>
    <row r="6" spans="1:14" ht="13.5" thickBot="1" x14ac:dyDescent="0.25"/>
    <row r="7" spans="1:14" ht="15.75" x14ac:dyDescent="0.2">
      <c r="A7" s="112" t="s">
        <v>18</v>
      </c>
      <c r="B7" s="113" t="s">
        <v>19</v>
      </c>
      <c r="C7" s="114" t="s">
        <v>20</v>
      </c>
      <c r="D7" s="83"/>
      <c r="E7" s="114" t="s">
        <v>21</v>
      </c>
      <c r="F7" s="83"/>
      <c r="G7" s="114" t="s">
        <v>22</v>
      </c>
      <c r="H7" s="83"/>
      <c r="I7" s="115" t="s">
        <v>23</v>
      </c>
    </row>
    <row r="8" spans="1:14" ht="15.75" x14ac:dyDescent="0.25">
      <c r="A8" s="116"/>
      <c r="B8" s="84"/>
      <c r="C8" s="117" t="s">
        <v>24</v>
      </c>
      <c r="D8" s="117" t="s">
        <v>25</v>
      </c>
      <c r="E8" s="118" t="s">
        <v>24</v>
      </c>
      <c r="F8" s="117" t="s">
        <v>25</v>
      </c>
      <c r="G8" s="118" t="s">
        <v>24</v>
      </c>
      <c r="H8" s="117" t="s">
        <v>25</v>
      </c>
      <c r="I8" s="85"/>
    </row>
    <row r="9" spans="1:14" ht="18.75" thickBot="1" x14ac:dyDescent="0.3">
      <c r="A9" s="119"/>
      <c r="B9" s="86"/>
      <c r="C9" s="120" t="s">
        <v>26</v>
      </c>
      <c r="D9" s="120" t="s">
        <v>157</v>
      </c>
      <c r="E9" s="121" t="s">
        <v>26</v>
      </c>
      <c r="F9" s="120" t="s">
        <v>157</v>
      </c>
      <c r="G9" s="121" t="s">
        <v>26</v>
      </c>
      <c r="H9" s="120" t="s">
        <v>157</v>
      </c>
      <c r="I9" s="122" t="s">
        <v>27</v>
      </c>
    </row>
    <row r="10" spans="1:14" ht="16.5" thickBot="1" x14ac:dyDescent="0.3">
      <c r="A10" s="123">
        <v>1</v>
      </c>
      <c r="B10" s="124">
        <v>2</v>
      </c>
      <c r="C10" s="124">
        <v>3</v>
      </c>
      <c r="D10" s="124">
        <v>4</v>
      </c>
      <c r="E10" s="124">
        <v>5</v>
      </c>
      <c r="F10" s="124">
        <v>6</v>
      </c>
      <c r="G10" s="124">
        <v>7</v>
      </c>
      <c r="H10" s="124">
        <v>8</v>
      </c>
      <c r="I10" s="125">
        <v>9</v>
      </c>
    </row>
    <row r="11" spans="1:14" ht="15.75" x14ac:dyDescent="0.25">
      <c r="A11" s="126">
        <v>1</v>
      </c>
      <c r="B11" s="127" t="s">
        <v>28</v>
      </c>
      <c r="C11" s="87">
        <f>+UTAMA!E12</f>
        <v>339.5</v>
      </c>
      <c r="D11" s="88">
        <f>+UTAMA!F12</f>
        <v>7.77</v>
      </c>
      <c r="E11" s="89">
        <f>+UTAMA!G12</f>
        <v>339.29</v>
      </c>
      <c r="F11" s="90">
        <f>+UTAMA!H12</f>
        <v>7.593</v>
      </c>
      <c r="G11" s="87">
        <f>+UTAMA!I12</f>
        <v>338.98</v>
      </c>
      <c r="H11" s="90">
        <f>+UTAMA!J12</f>
        <v>7.335</v>
      </c>
      <c r="I11" s="91">
        <v>35162</v>
      </c>
      <c r="K11" s="128"/>
      <c r="L11" s="128"/>
      <c r="M11" s="128"/>
      <c r="N11" s="92"/>
    </row>
    <row r="12" spans="1:14" ht="15.75" x14ac:dyDescent="0.25">
      <c r="A12" s="129">
        <f>+A11+1</f>
        <v>2</v>
      </c>
      <c r="B12" s="130" t="s">
        <v>29</v>
      </c>
      <c r="C12" s="93">
        <f>+UTAMA!E13</f>
        <v>77.5</v>
      </c>
      <c r="D12" s="94">
        <f>+UTAMA!F13</f>
        <v>49.02</v>
      </c>
      <c r="E12" s="95">
        <f>+UTAMA!G13</f>
        <v>75.94</v>
      </c>
      <c r="F12" s="94">
        <f>+UTAMA!H13</f>
        <v>39.431297000000001</v>
      </c>
      <c r="G12" s="93">
        <f>+UTAMA!I13</f>
        <v>77.099999999999994</v>
      </c>
      <c r="H12" s="94">
        <f>+UTAMA!J13</f>
        <v>46.448554999999999</v>
      </c>
      <c r="I12" s="96">
        <v>28310</v>
      </c>
      <c r="K12" s="128"/>
      <c r="L12" s="128"/>
      <c r="M12" s="128"/>
      <c r="N12" s="92"/>
    </row>
    <row r="13" spans="1:14" ht="15.75" x14ac:dyDescent="0.25">
      <c r="A13" s="129">
        <f t="shared" ref="A13:A48" si="0">+A12+1</f>
        <v>3</v>
      </c>
      <c r="B13" s="130" t="s">
        <v>30</v>
      </c>
      <c r="C13" s="93">
        <f>+UTAMA!E11</f>
        <v>55.77</v>
      </c>
      <c r="D13" s="94">
        <f>+UTAMA!F11</f>
        <v>31.144597999999998</v>
      </c>
      <c r="E13" s="93">
        <f>+UTAMA!G11</f>
        <v>55.56</v>
      </c>
      <c r="F13" s="94">
        <f>+UTAMA!H11</f>
        <v>29.92764</v>
      </c>
      <c r="G13" s="93">
        <f>+UTAMA!I11</f>
        <v>55.61</v>
      </c>
      <c r="H13" s="94">
        <f>+UTAMA!J11</f>
        <v>30.20984</v>
      </c>
      <c r="I13" s="96">
        <v>17481</v>
      </c>
      <c r="K13" s="128"/>
      <c r="L13" s="128"/>
      <c r="M13" s="128"/>
      <c r="N13" s="92"/>
    </row>
    <row r="14" spans="1:14" ht="15.75" x14ac:dyDescent="0.25">
      <c r="A14" s="129">
        <f t="shared" si="0"/>
        <v>4</v>
      </c>
      <c r="B14" s="130" t="s">
        <v>31</v>
      </c>
      <c r="C14" s="93">
        <f>+UTAMA!E14</f>
        <v>463.3</v>
      </c>
      <c r="D14" s="94">
        <f>+UTAMA!F14</f>
        <v>49.9</v>
      </c>
      <c r="E14" s="97">
        <f>+UTAMA!H14</f>
        <v>44.911000000000001</v>
      </c>
      <c r="F14" s="94">
        <f>+UTAMA!H14</f>
        <v>44.911000000000001</v>
      </c>
      <c r="G14" s="93">
        <f>+UTAMA!I14</f>
        <v>463</v>
      </c>
      <c r="H14" s="94">
        <f>+UTAMA!J14</f>
        <v>48.21</v>
      </c>
      <c r="I14" s="96">
        <v>19972</v>
      </c>
      <c r="K14" s="128"/>
      <c r="L14" s="128"/>
      <c r="M14" s="128"/>
      <c r="N14" s="92"/>
    </row>
    <row r="15" spans="1:14" ht="15.75" x14ac:dyDescent="0.25">
      <c r="A15" s="129">
        <f t="shared" si="0"/>
        <v>5</v>
      </c>
      <c r="B15" s="130" t="s">
        <v>32</v>
      </c>
      <c r="C15" s="93">
        <f>+UTAMA!E15</f>
        <v>207</v>
      </c>
      <c r="D15" s="94">
        <f>+UTAMA!F15</f>
        <v>9.5030000000000001</v>
      </c>
      <c r="E15" s="97">
        <f>+UTAMA!H15</f>
        <v>8.5259999999999998</v>
      </c>
      <c r="F15" s="94">
        <f>+UTAMA!H15</f>
        <v>8.5259999999999998</v>
      </c>
      <c r="G15" s="93">
        <f>+UTAMA!I15</f>
        <v>207.01</v>
      </c>
      <c r="H15" s="94">
        <f>+UTAMA!J15</f>
        <v>9.5169999999999995</v>
      </c>
      <c r="I15" s="96">
        <v>4959</v>
      </c>
      <c r="K15" s="128"/>
      <c r="L15" s="128"/>
      <c r="M15" s="128"/>
      <c r="N15" s="92"/>
    </row>
    <row r="16" spans="1:14" ht="15.75" x14ac:dyDescent="0.25">
      <c r="A16" s="129">
        <f t="shared" si="0"/>
        <v>6</v>
      </c>
      <c r="B16" s="130" t="s">
        <v>33</v>
      </c>
      <c r="C16" s="93">
        <f>+UTAMA!E16</f>
        <v>320</v>
      </c>
      <c r="D16" s="94">
        <f>+UTAMA!F16</f>
        <v>5.1509999999999998</v>
      </c>
      <c r="E16" s="97">
        <f>+UTAMA!H16</f>
        <v>4.6500000000000004</v>
      </c>
      <c r="F16" s="94">
        <f>+UTAMA!H16</f>
        <v>4.6500000000000004</v>
      </c>
      <c r="G16" s="93">
        <f>+UTAMA!I16</f>
        <v>320</v>
      </c>
      <c r="H16" s="94">
        <f>+UTAMA!J16</f>
        <v>5.1509999999999998</v>
      </c>
      <c r="I16" s="96">
        <v>6052</v>
      </c>
      <c r="K16" s="128"/>
      <c r="L16" s="128"/>
      <c r="M16" s="128"/>
      <c r="N16" s="92"/>
    </row>
    <row r="17" spans="1:14" ht="15.75" x14ac:dyDescent="0.25">
      <c r="A17" s="129">
        <f t="shared" si="0"/>
        <v>7</v>
      </c>
      <c r="B17" s="130" t="s">
        <v>34</v>
      </c>
      <c r="C17" s="93">
        <f>+UTAMA!E17</f>
        <v>90</v>
      </c>
      <c r="D17" s="94">
        <f>+UTAMA!F17</f>
        <v>689.09100000000001</v>
      </c>
      <c r="E17" s="97">
        <f>+UTAMA!G17</f>
        <v>88.24</v>
      </c>
      <c r="F17" s="94">
        <f>+UTAMA!H17</f>
        <v>601.56600000000003</v>
      </c>
      <c r="G17" s="93">
        <f>+UTAMA!I17</f>
        <v>85.03</v>
      </c>
      <c r="H17" s="94">
        <f>+UTAMA!J17</f>
        <v>461.88152977056512</v>
      </c>
      <c r="I17" s="98">
        <v>59645</v>
      </c>
      <c r="K17" s="128"/>
      <c r="L17" s="128"/>
      <c r="M17" s="128"/>
      <c r="N17" s="99"/>
    </row>
    <row r="18" spans="1:14" ht="15.75" x14ac:dyDescent="0.25">
      <c r="A18" s="129">
        <f t="shared" si="0"/>
        <v>8</v>
      </c>
      <c r="B18" s="130" t="s">
        <v>35</v>
      </c>
      <c r="C18" s="93">
        <f>+UTAMA!E18</f>
        <v>120.5</v>
      </c>
      <c r="D18" s="94">
        <f>+UTAMA!F18</f>
        <v>2.0920000000000001</v>
      </c>
      <c r="E18" s="97">
        <f>+UTAMA!G18</f>
        <v>118.22</v>
      </c>
      <c r="F18" s="94">
        <f>+UTAMA!H18</f>
        <v>1.153</v>
      </c>
      <c r="G18" s="93">
        <f>+UTAMA!I18</f>
        <v>119.26</v>
      </c>
      <c r="H18" s="94">
        <f>+UTAMA!J18</f>
        <v>1.276</v>
      </c>
      <c r="I18" s="100">
        <v>923</v>
      </c>
      <c r="K18" s="128"/>
      <c r="L18" s="128"/>
      <c r="M18" s="131"/>
      <c r="N18" s="99"/>
    </row>
    <row r="19" spans="1:14" ht="15.75" x14ac:dyDescent="0.25">
      <c r="A19" s="129">
        <f t="shared" si="0"/>
        <v>9</v>
      </c>
      <c r="B19" s="130" t="s">
        <v>36</v>
      </c>
      <c r="C19" s="93">
        <f>+UTAMA!E19</f>
        <v>120.8</v>
      </c>
      <c r="D19" s="94">
        <f>+UTAMA!F19</f>
        <v>2.3530000000000002</v>
      </c>
      <c r="E19" s="97">
        <f>+UTAMA!G19</f>
        <v>118.49</v>
      </c>
      <c r="F19" s="94">
        <f>+UTAMA!H19</f>
        <v>1.177</v>
      </c>
      <c r="G19" s="93">
        <f>+UTAMA!I19</f>
        <v>117.84</v>
      </c>
      <c r="H19" s="94">
        <f>+UTAMA!J19</f>
        <v>0.66500000000000004</v>
      </c>
      <c r="I19" s="98">
        <v>251</v>
      </c>
      <c r="K19" s="128"/>
      <c r="L19" s="99"/>
      <c r="M19" s="99"/>
      <c r="N19" s="99"/>
    </row>
    <row r="20" spans="1:14" ht="15.75" x14ac:dyDescent="0.25">
      <c r="A20" s="129">
        <f t="shared" si="0"/>
        <v>10</v>
      </c>
      <c r="B20" s="130" t="s">
        <v>37</v>
      </c>
      <c r="C20" s="93">
        <f>+UTAMA!E20</f>
        <v>46.5</v>
      </c>
      <c r="D20" s="94">
        <f>+UTAMA!F20</f>
        <v>4.5999999999999996</v>
      </c>
      <c r="E20" s="101" t="s">
        <v>38</v>
      </c>
      <c r="F20" s="94">
        <f>+UTAMA!H20</f>
        <v>1.5349999999999999</v>
      </c>
      <c r="G20" s="93">
        <f>+UTAMA!I20</f>
        <v>40.869999999999997</v>
      </c>
      <c r="H20" s="94">
        <f>+UTAMA!J20</f>
        <v>0.79100000000000004</v>
      </c>
      <c r="I20" s="102">
        <v>440</v>
      </c>
      <c r="K20" s="128"/>
      <c r="L20" s="128"/>
      <c r="M20" s="131"/>
      <c r="N20" s="99"/>
    </row>
    <row r="21" spans="1:14" ht="15.75" x14ac:dyDescent="0.25">
      <c r="A21" s="129">
        <f t="shared" si="0"/>
        <v>11</v>
      </c>
      <c r="B21" s="130" t="s">
        <v>39</v>
      </c>
      <c r="C21" s="93">
        <f>+UTAMA!E21</f>
        <v>51.5</v>
      </c>
      <c r="D21" s="94">
        <f>+UTAMA!F21</f>
        <v>2.4159999999999999</v>
      </c>
      <c r="E21" s="97">
        <f>+UTAMA!G21</f>
        <v>48.26</v>
      </c>
      <c r="F21" s="94">
        <f>+UTAMA!H21</f>
        <v>1.3240000000000001</v>
      </c>
      <c r="G21" s="93">
        <f>+UTAMA!I21</f>
        <v>51.43</v>
      </c>
      <c r="H21" s="94">
        <f>+UTAMA!J21</f>
        <v>2.548</v>
      </c>
      <c r="I21" s="102">
        <v>775</v>
      </c>
      <c r="K21" s="128"/>
      <c r="L21" s="128"/>
      <c r="M21" s="131"/>
      <c r="N21" s="99"/>
    </row>
    <row r="22" spans="1:14" ht="15.75" x14ac:dyDescent="0.25">
      <c r="A22" s="129">
        <f t="shared" si="0"/>
        <v>12</v>
      </c>
      <c r="B22" s="130" t="s">
        <v>40</v>
      </c>
      <c r="C22" s="93">
        <f>+UTAMA!E22</f>
        <v>81</v>
      </c>
      <c r="D22" s="94">
        <f>+UTAMA!F22</f>
        <v>1.093</v>
      </c>
      <c r="E22" s="97">
        <f>+UTAMA!G22</f>
        <v>78.45</v>
      </c>
      <c r="F22" s="94">
        <f>+UTAMA!H22</f>
        <v>0.68</v>
      </c>
      <c r="G22" s="93">
        <f>+UTAMA!I22</f>
        <v>74.94</v>
      </c>
      <c r="H22" s="94">
        <f>+UTAMA!J22</f>
        <v>0.30599999999999999</v>
      </c>
      <c r="I22" s="98">
        <v>750</v>
      </c>
      <c r="K22" s="128"/>
      <c r="L22" s="128"/>
      <c r="M22" s="131"/>
      <c r="N22" s="99"/>
    </row>
    <row r="23" spans="1:14" ht="15.75" x14ac:dyDescent="0.25">
      <c r="A23" s="129">
        <f t="shared" si="0"/>
        <v>13</v>
      </c>
      <c r="B23" s="130" t="s">
        <v>41</v>
      </c>
      <c r="C23" s="93">
        <f>+UTAMA!E23</f>
        <v>82.8</v>
      </c>
      <c r="D23" s="94">
        <f>+UTAMA!F23</f>
        <v>0.42899999999999999</v>
      </c>
      <c r="E23" s="101">
        <f>+UTAMA!G23</f>
        <v>81.739999999999995</v>
      </c>
      <c r="F23" s="94">
        <f>+UTAMA!H23</f>
        <v>0.27400000000000002</v>
      </c>
      <c r="G23" s="93">
        <f>+UTAMA!I23</f>
        <v>78</v>
      </c>
      <c r="H23" s="94">
        <f>+UTAMA!J23</f>
        <v>0</v>
      </c>
      <c r="I23" s="98">
        <v>482</v>
      </c>
      <c r="K23" s="128"/>
      <c r="L23" s="128"/>
      <c r="M23" s="128"/>
      <c r="N23" s="99"/>
    </row>
    <row r="24" spans="1:14" ht="15.75" x14ac:dyDescent="0.25">
      <c r="A24" s="129">
        <f t="shared" si="0"/>
        <v>14</v>
      </c>
      <c r="B24" s="130" t="s">
        <v>42</v>
      </c>
      <c r="C24" s="93">
        <f>+UTAMA!E24</f>
        <v>69.95</v>
      </c>
      <c r="D24" s="94">
        <f>+UTAMA!F24</f>
        <v>0.25</v>
      </c>
      <c r="E24" s="101">
        <f>+UTAMA!G24</f>
        <v>69.34</v>
      </c>
      <c r="F24" s="94">
        <f>+UTAMA!H24</f>
        <v>0.16900000000000001</v>
      </c>
      <c r="G24" s="93">
        <f>+UTAMA!I24</f>
        <v>62.86</v>
      </c>
      <c r="H24" s="94">
        <f>+UTAMA!J24</f>
        <v>0.13100000000000001</v>
      </c>
      <c r="I24" s="98">
        <v>366</v>
      </c>
      <c r="K24" s="128"/>
      <c r="L24" s="128"/>
      <c r="M24" s="128"/>
      <c r="N24" s="103"/>
    </row>
    <row r="25" spans="1:14" ht="15.75" x14ac:dyDescent="0.25">
      <c r="A25" s="129">
        <f t="shared" si="0"/>
        <v>15</v>
      </c>
      <c r="B25" s="130" t="s">
        <v>43</v>
      </c>
      <c r="C25" s="93">
        <f>+UTAMA!E25</f>
        <v>48.2</v>
      </c>
      <c r="D25" s="94">
        <f>+UTAMA!F25</f>
        <v>0.38500000000000001</v>
      </c>
      <c r="E25" s="97">
        <f>+UTAMA!G25</f>
        <v>46.46</v>
      </c>
      <c r="F25" s="94">
        <f>+UTAMA!H25</f>
        <v>0.21299999999999999</v>
      </c>
      <c r="G25" s="93">
        <f>+UTAMA!I25</f>
        <v>46.88</v>
      </c>
      <c r="H25" s="94">
        <f>+UTAMA!J25</f>
        <v>0.378</v>
      </c>
      <c r="I25" s="102">
        <v>260</v>
      </c>
      <c r="K25" s="128"/>
      <c r="L25" s="128"/>
      <c r="M25" s="128"/>
      <c r="N25" s="99"/>
    </row>
    <row r="26" spans="1:14" ht="15.75" x14ac:dyDescent="0.25">
      <c r="A26" s="129">
        <f t="shared" si="0"/>
        <v>16</v>
      </c>
      <c r="B26" s="130" t="s">
        <v>44</v>
      </c>
      <c r="C26" s="93">
        <f>+UTAMA!E26</f>
        <v>136</v>
      </c>
      <c r="D26" s="94">
        <f>+UTAMA!F26</f>
        <v>440</v>
      </c>
      <c r="E26" s="97">
        <f>+UTAMA!G26</f>
        <v>138.78</v>
      </c>
      <c r="F26" s="94">
        <f>+UTAMA!H26</f>
        <v>354.25700000000001</v>
      </c>
      <c r="G26" s="93">
        <f>+UTAMA!I26</f>
        <v>135.88999999999999</v>
      </c>
      <c r="H26" s="94">
        <f>+UTAMA!J26</f>
        <v>360.19709461399998</v>
      </c>
      <c r="I26" s="98">
        <v>28109</v>
      </c>
      <c r="K26" s="128"/>
      <c r="L26" s="128"/>
      <c r="M26" s="128"/>
      <c r="N26" s="104"/>
    </row>
    <row r="27" spans="1:14" ht="15.75" x14ac:dyDescent="0.25">
      <c r="A27" s="129">
        <f t="shared" si="0"/>
        <v>17</v>
      </c>
      <c r="B27" s="130" t="s">
        <v>45</v>
      </c>
      <c r="C27" s="93">
        <f>+UTAMA!E27</f>
        <v>113.5</v>
      </c>
      <c r="D27" s="94">
        <f>+UTAMA!F27</f>
        <v>3.7519999999999998</v>
      </c>
      <c r="E27" s="97">
        <f>+UTAMA!G27</f>
        <v>110.7</v>
      </c>
      <c r="F27" s="94">
        <f>+UTAMA!H27</f>
        <v>0.33200000000000002</v>
      </c>
      <c r="G27" s="93">
        <f>+UTAMA!I27</f>
        <v>112.37</v>
      </c>
      <c r="H27" s="94">
        <f>+UTAMA!J27</f>
        <v>0.40745182000000002</v>
      </c>
      <c r="I27" s="98">
        <v>874</v>
      </c>
      <c r="K27" s="128"/>
      <c r="L27" s="128"/>
      <c r="M27" s="128"/>
      <c r="N27" s="104"/>
    </row>
    <row r="28" spans="1:14" ht="15.75" x14ac:dyDescent="0.25">
      <c r="A28" s="129">
        <f t="shared" si="0"/>
        <v>18</v>
      </c>
      <c r="B28" s="130" t="s">
        <v>46</v>
      </c>
      <c r="C28" s="93">
        <f>+UTAMA!E28</f>
        <v>225.4</v>
      </c>
      <c r="D28" s="94">
        <f>+UTAMA!F28</f>
        <v>1.2</v>
      </c>
      <c r="E28" s="97">
        <f>+UTAMA!G28</f>
        <v>202.5</v>
      </c>
      <c r="F28" s="94">
        <f>+UTAMA!H28</f>
        <v>0.20599999999999999</v>
      </c>
      <c r="G28" s="93">
        <f>+UTAMA!I28</f>
        <v>202.3</v>
      </c>
      <c r="H28" s="94">
        <f>+UTAMA!J28</f>
        <v>0.18823000000000001</v>
      </c>
      <c r="I28" s="102">
        <v>392</v>
      </c>
      <c r="K28" s="128"/>
      <c r="L28" s="128"/>
      <c r="M28" s="128"/>
      <c r="N28" s="99"/>
    </row>
    <row r="29" spans="1:14" ht="15.75" x14ac:dyDescent="0.25">
      <c r="A29" s="129">
        <f t="shared" si="0"/>
        <v>19</v>
      </c>
      <c r="B29" s="130" t="s">
        <v>47</v>
      </c>
      <c r="C29" s="93">
        <f>+UTAMA!E29</f>
        <v>224</v>
      </c>
      <c r="D29" s="94">
        <f>+UTAMA!F29</f>
        <v>0.6</v>
      </c>
      <c r="E29" s="97">
        <f>+UTAMA!G29</f>
        <v>221.06</v>
      </c>
      <c r="F29" s="94">
        <f>+UTAMA!H29</f>
        <v>0.35399999999999998</v>
      </c>
      <c r="G29" s="93">
        <f>+UTAMA!I29</f>
        <v>223.29</v>
      </c>
      <c r="H29" s="94">
        <f>+UTAMA!J29</f>
        <v>0.52900000000000003</v>
      </c>
      <c r="I29" s="102">
        <v>500</v>
      </c>
      <c r="K29" s="128"/>
      <c r="L29" s="128"/>
      <c r="M29" s="128"/>
      <c r="N29" s="99"/>
    </row>
    <row r="30" spans="1:14" ht="15.75" x14ac:dyDescent="0.25">
      <c r="A30" s="129">
        <f t="shared" si="0"/>
        <v>20</v>
      </c>
      <c r="B30" s="130" t="s">
        <v>48</v>
      </c>
      <c r="C30" s="93">
        <f>+UTAMA!E30</f>
        <v>196</v>
      </c>
      <c r="D30" s="94">
        <f>+UTAMA!F30</f>
        <v>1.5820000000000001</v>
      </c>
      <c r="E30" s="97">
        <f>+UTAMA!G30</f>
        <v>193.8</v>
      </c>
      <c r="F30" s="94">
        <f>+UTAMA!H30</f>
        <v>0.22</v>
      </c>
      <c r="G30" s="93">
        <f>+UTAMA!I30</f>
        <v>194.64</v>
      </c>
      <c r="H30" s="94">
        <f>+UTAMA!J30</f>
        <v>0.29957279999999997</v>
      </c>
      <c r="I30" s="102">
        <v>700</v>
      </c>
      <c r="K30" s="128"/>
      <c r="L30" s="128"/>
      <c r="M30" s="128"/>
      <c r="N30" s="99"/>
    </row>
    <row r="31" spans="1:14" ht="15.75" x14ac:dyDescent="0.25">
      <c r="A31" s="129">
        <f t="shared" si="0"/>
        <v>21</v>
      </c>
      <c r="B31" s="130" t="s">
        <v>49</v>
      </c>
      <c r="C31" s="93">
        <f>+UTAMA!E31</f>
        <v>174</v>
      </c>
      <c r="D31" s="94">
        <f>+UTAMA!F31</f>
        <v>0.47899999999999998</v>
      </c>
      <c r="E31" s="101">
        <f>+UTAMA!G31</f>
        <v>169.3</v>
      </c>
      <c r="F31" s="94">
        <f>+UTAMA!H31</f>
        <v>0.09</v>
      </c>
      <c r="G31" s="93">
        <f>+UTAMA!I31</f>
        <v>169.55</v>
      </c>
      <c r="H31" s="94">
        <f>+UTAMA!J31</f>
        <v>0.102786</v>
      </c>
      <c r="I31" s="102">
        <v>87</v>
      </c>
      <c r="K31" s="128"/>
      <c r="L31" s="128"/>
      <c r="M31" s="128"/>
      <c r="N31" s="104"/>
    </row>
    <row r="32" spans="1:14" ht="15.75" x14ac:dyDescent="0.25">
      <c r="A32" s="129">
        <f t="shared" si="0"/>
        <v>22</v>
      </c>
      <c r="B32" s="130" t="s">
        <v>50</v>
      </c>
      <c r="C32" s="93">
        <f>+UTAMA!E32</f>
        <v>229.1</v>
      </c>
      <c r="D32" s="94">
        <f>+UTAMA!F32</f>
        <v>0.79200000000000004</v>
      </c>
      <c r="E32" s="97">
        <f>+UTAMA!G32</f>
        <v>224.71</v>
      </c>
      <c r="F32" s="94">
        <f>+UTAMA!H32</f>
        <v>0.41799999999999998</v>
      </c>
      <c r="G32" s="93">
        <f>+UTAMA!I32</f>
        <v>225.89</v>
      </c>
      <c r="H32" s="94">
        <f>+UTAMA!J32</f>
        <v>0.51852900000000002</v>
      </c>
      <c r="I32" s="100">
        <v>354</v>
      </c>
      <c r="K32" s="128"/>
      <c r="L32" s="128"/>
      <c r="M32" s="128"/>
      <c r="N32" s="99"/>
    </row>
    <row r="33" spans="1:14" ht="15.75" x14ac:dyDescent="0.25">
      <c r="A33" s="129">
        <f t="shared" si="0"/>
        <v>23</v>
      </c>
      <c r="B33" s="130" t="s">
        <v>51</v>
      </c>
      <c r="C33" s="93">
        <f>+UTAMA!E33</f>
        <v>249</v>
      </c>
      <c r="D33" s="94">
        <f>+UTAMA!F33</f>
        <v>2.1240000000000001</v>
      </c>
      <c r="E33" s="97">
        <f>+UTAMA!G33</f>
        <v>241.16</v>
      </c>
      <c r="F33" s="94">
        <f>+UTAMA!H33</f>
        <v>0.35499999999999998</v>
      </c>
      <c r="G33" s="93">
        <f>+UTAMA!I33</f>
        <v>243.2</v>
      </c>
      <c r="H33" s="94">
        <f>+UTAMA!J33</f>
        <v>0.64993000000000001</v>
      </c>
      <c r="I33" s="102">
        <v>637</v>
      </c>
      <c r="K33" s="128"/>
      <c r="L33" s="128"/>
      <c r="M33" s="128"/>
      <c r="N33" s="99"/>
    </row>
    <row r="34" spans="1:14" ht="15.75" x14ac:dyDescent="0.25">
      <c r="A34" s="129">
        <f t="shared" si="0"/>
        <v>24</v>
      </c>
      <c r="B34" s="130" t="s">
        <v>52</v>
      </c>
      <c r="C34" s="93">
        <f>+UTAMA!E34</f>
        <v>164.75</v>
      </c>
      <c r="D34" s="94">
        <f>+UTAMA!F34</f>
        <v>5</v>
      </c>
      <c r="E34" s="97">
        <f>+UTAMA!G34</f>
        <v>147</v>
      </c>
      <c r="F34" s="94">
        <f>+UTAMA!H34</f>
        <v>1.59</v>
      </c>
      <c r="G34" s="93">
        <f>+UTAMA!I34</f>
        <v>149.55000000000001</v>
      </c>
      <c r="H34" s="94">
        <f>+UTAMA!J34</f>
        <v>3.2364805099999998</v>
      </c>
      <c r="I34" s="102">
        <v>7394</v>
      </c>
      <c r="K34" s="128"/>
      <c r="L34" s="128"/>
      <c r="M34" s="128"/>
      <c r="N34" s="104"/>
    </row>
    <row r="35" spans="1:14" ht="15.75" x14ac:dyDescent="0.25">
      <c r="A35" s="129">
        <f t="shared" si="0"/>
        <v>25</v>
      </c>
      <c r="B35" s="130" t="s">
        <v>53</v>
      </c>
      <c r="C35" s="93">
        <f>+UTAMA!E35</f>
        <v>179.1</v>
      </c>
      <c r="D35" s="94">
        <f>+UTAMA!F35</f>
        <v>4.2</v>
      </c>
      <c r="E35" s="105">
        <f>+UTAMA!G35</f>
        <v>229.88</v>
      </c>
      <c r="F35" s="94">
        <f>+UTAMA!H35</f>
        <v>1.8939999999999999</v>
      </c>
      <c r="G35" s="93">
        <f>+UTAMA!I35</f>
        <v>231.13</v>
      </c>
      <c r="H35" s="94">
        <f>+UTAMA!J35</f>
        <v>2.5542298400000001</v>
      </c>
      <c r="I35" s="102">
        <v>2410</v>
      </c>
      <c r="K35" s="128"/>
      <c r="L35" s="128"/>
      <c r="M35" s="128"/>
      <c r="N35" s="104"/>
    </row>
    <row r="36" spans="1:14" ht="15.75" x14ac:dyDescent="0.25">
      <c r="A36" s="129">
        <f t="shared" si="0"/>
        <v>26</v>
      </c>
      <c r="B36" s="130" t="s">
        <v>54</v>
      </c>
      <c r="C36" s="93">
        <f>+UTAMA!E36</f>
        <v>325.56</v>
      </c>
      <c r="D36" s="94">
        <f>+UTAMA!F36</f>
        <v>0.70099999999999996</v>
      </c>
      <c r="E36" s="105">
        <f>+UTAMA!G36</f>
        <v>325.5</v>
      </c>
      <c r="F36" s="94">
        <f>+UTAMA!H36</f>
        <v>0.69499999999999995</v>
      </c>
      <c r="G36" s="93">
        <f>+UTAMA!I36</f>
        <v>324.72000000000003</v>
      </c>
      <c r="H36" s="94">
        <f>+UTAMA!J36</f>
        <v>0.62363170000000001</v>
      </c>
      <c r="I36" s="102">
        <v>1370</v>
      </c>
      <c r="K36" s="128"/>
      <c r="L36" s="128"/>
      <c r="M36" s="128"/>
      <c r="N36" s="104"/>
    </row>
    <row r="37" spans="1:14" ht="15.75" x14ac:dyDescent="0.25">
      <c r="A37" s="129">
        <f t="shared" si="0"/>
        <v>27</v>
      </c>
      <c r="B37" s="130" t="s">
        <v>55</v>
      </c>
      <c r="C37" s="93">
        <f>+UTAMA!E37</f>
        <v>129.19999999999999</v>
      </c>
      <c r="D37" s="94">
        <f>+UTAMA!F37</f>
        <v>0.5</v>
      </c>
      <c r="E37" s="105">
        <f>+UTAMA!G37</f>
        <v>126.62</v>
      </c>
      <c r="F37" s="94">
        <f>+UTAMA!H37</f>
        <v>0.22800000000000001</v>
      </c>
      <c r="G37" s="93">
        <f>+UTAMA!I37</f>
        <v>129.19999999999999</v>
      </c>
      <c r="H37" s="94">
        <f>+UTAMA!J37</f>
        <v>0.5</v>
      </c>
      <c r="I37" s="102">
        <v>358</v>
      </c>
      <c r="K37" s="128"/>
      <c r="L37" s="128"/>
      <c r="M37" s="128"/>
      <c r="N37" s="104"/>
    </row>
    <row r="38" spans="1:14" ht="15.75" x14ac:dyDescent="0.25">
      <c r="A38" s="129">
        <f t="shared" si="0"/>
        <v>28</v>
      </c>
      <c r="B38" s="130" t="s">
        <v>56</v>
      </c>
      <c r="C38" s="93">
        <f>+UTAMA!E38</f>
        <v>282.77999999999997</v>
      </c>
      <c r="D38" s="94">
        <f>+UTAMA!F38</f>
        <v>0.51300000000000001</v>
      </c>
      <c r="E38" s="105">
        <f>+UTAMA!G38</f>
        <v>280.32</v>
      </c>
      <c r="F38" s="94">
        <f>+UTAMA!H38</f>
        <v>0.23200000000000001</v>
      </c>
      <c r="G38" s="93">
        <f>+UTAMA!I38</f>
        <v>282.77999999999997</v>
      </c>
      <c r="H38" s="94">
        <f>+UTAMA!J38</f>
        <v>0.57354000000000005</v>
      </c>
      <c r="I38" s="102">
        <v>268</v>
      </c>
      <c r="K38" s="128"/>
      <c r="L38" s="128"/>
      <c r="M38" s="128"/>
      <c r="N38" s="103"/>
    </row>
    <row r="39" spans="1:14" ht="15.75" x14ac:dyDescent="0.25">
      <c r="A39" s="129">
        <f t="shared" si="0"/>
        <v>29</v>
      </c>
      <c r="B39" s="130" t="s">
        <v>57</v>
      </c>
      <c r="C39" s="93">
        <f>+UTAMA!E39</f>
        <v>99</v>
      </c>
      <c r="D39" s="94">
        <f>+UTAMA!F39</f>
        <v>2.6110000000000002</v>
      </c>
      <c r="E39" s="105">
        <f>+UTAMA!G39</f>
        <v>97.83</v>
      </c>
      <c r="F39" s="94">
        <f>+UTAMA!H39</f>
        <v>0.752</v>
      </c>
      <c r="G39" s="93">
        <f>+UTAMA!I39</f>
        <v>98.84</v>
      </c>
      <c r="H39" s="94">
        <f>+UTAMA!J39</f>
        <v>0.965187927</v>
      </c>
      <c r="I39" s="102">
        <v>892</v>
      </c>
      <c r="K39" s="128"/>
      <c r="L39" s="128"/>
      <c r="M39" s="128"/>
      <c r="N39" s="104"/>
    </row>
    <row r="40" spans="1:14" ht="15.75" x14ac:dyDescent="0.25">
      <c r="A40" s="129">
        <f t="shared" si="0"/>
        <v>30</v>
      </c>
      <c r="B40" s="130" t="s">
        <v>58</v>
      </c>
      <c r="C40" s="93">
        <f>+UTAMA!E40</f>
        <v>189.7</v>
      </c>
      <c r="D40" s="94">
        <f>+UTAMA!F40</f>
        <v>7.9000000000000001E-2</v>
      </c>
      <c r="E40" s="105">
        <f>+UTAMA!G40</f>
        <v>188.87</v>
      </c>
      <c r="F40" s="94">
        <f>+UTAMA!H40</f>
        <v>5.3999999999999999E-2</v>
      </c>
      <c r="G40" s="93">
        <f>+UTAMA!I40</f>
        <v>189.4</v>
      </c>
      <c r="H40" s="94">
        <f>+UTAMA!J40</f>
        <v>7.3440000000000005E-2</v>
      </c>
      <c r="I40" s="102">
        <v>274</v>
      </c>
      <c r="K40" s="128"/>
      <c r="L40" s="128"/>
      <c r="M40" s="128"/>
      <c r="N40" s="104"/>
    </row>
    <row r="41" spans="1:14" ht="15.75" x14ac:dyDescent="0.25">
      <c r="A41" s="129">
        <f t="shared" si="0"/>
        <v>31</v>
      </c>
      <c r="B41" s="130" t="s">
        <v>59</v>
      </c>
      <c r="C41" s="93">
        <f>+UTAMA!E41</f>
        <v>171.19</v>
      </c>
      <c r="D41" s="94">
        <f>+UTAMA!F41</f>
        <v>9.6879999999999994E-2</v>
      </c>
      <c r="E41" s="105">
        <f>+UTAMA!G41</f>
        <v>169.73</v>
      </c>
      <c r="F41" s="94">
        <f>+UTAMA!H41</f>
        <v>6.0999999999999999E-2</v>
      </c>
      <c r="G41" s="93">
        <f>+UTAMA!I41</f>
        <v>171.4</v>
      </c>
      <c r="H41" s="94">
        <f>+UTAMA!J41</f>
        <v>0.101966</v>
      </c>
      <c r="I41" s="102">
        <v>395</v>
      </c>
      <c r="K41" s="128"/>
      <c r="L41" s="128"/>
      <c r="M41" s="128"/>
      <c r="N41" s="104"/>
    </row>
    <row r="42" spans="1:14" ht="15.75" x14ac:dyDescent="0.25">
      <c r="A42" s="129">
        <f t="shared" si="0"/>
        <v>32</v>
      </c>
      <c r="B42" s="130" t="s">
        <v>60</v>
      </c>
      <c r="C42" s="93">
        <f>+UTAMA!E42</f>
        <v>142.6</v>
      </c>
      <c r="D42" s="94">
        <f>+UTAMA!F42</f>
        <v>9.157</v>
      </c>
      <c r="E42" s="105">
        <f>+UTAMA!G42</f>
        <v>150.37</v>
      </c>
      <c r="F42" s="94">
        <f>+UTAMA!H42</f>
        <v>2.7679999999999998</v>
      </c>
      <c r="G42" s="93">
        <f>+UTAMA!I42</f>
        <v>153.15</v>
      </c>
      <c r="H42" s="94">
        <f>+UTAMA!J42</f>
        <v>9.4786347099999997</v>
      </c>
      <c r="I42" s="98">
        <v>1570</v>
      </c>
      <c r="K42" s="128"/>
      <c r="L42" s="128"/>
      <c r="M42" s="128"/>
      <c r="N42" s="104"/>
    </row>
    <row r="43" spans="1:14" ht="15.75" x14ac:dyDescent="0.25">
      <c r="A43" s="129">
        <f t="shared" si="0"/>
        <v>33</v>
      </c>
      <c r="B43" s="130" t="s">
        <v>61</v>
      </c>
      <c r="C43" s="93">
        <f>+UTAMA!E43</f>
        <v>239.5</v>
      </c>
      <c r="D43" s="94">
        <f>+UTAMA!F43</f>
        <v>2.6720000000000002</v>
      </c>
      <c r="E43" s="105">
        <f>+UTAMA!G43</f>
        <v>238.92</v>
      </c>
      <c r="F43" s="94">
        <f>+UTAMA!H43</f>
        <v>2.3580000000000001</v>
      </c>
      <c r="G43" s="93">
        <f>+UTAMA!I43</f>
        <v>238.48</v>
      </c>
      <c r="H43" s="94">
        <f>+UTAMA!J43</f>
        <v>2.1288</v>
      </c>
      <c r="I43" s="98">
        <v>1353</v>
      </c>
      <c r="K43" s="128"/>
      <c r="L43" s="128"/>
      <c r="M43" s="128"/>
      <c r="N43" s="104"/>
    </row>
    <row r="44" spans="1:14" ht="15.75" x14ac:dyDescent="0.25">
      <c r="A44" s="129">
        <f t="shared" si="0"/>
        <v>34</v>
      </c>
      <c r="B44" s="130" t="s">
        <v>62</v>
      </c>
      <c r="C44" s="93">
        <f>+UTAMA!E44</f>
        <v>120.5</v>
      </c>
      <c r="D44" s="94">
        <f>+UTAMA!F44</f>
        <v>3.677</v>
      </c>
      <c r="E44" s="105">
        <f>+UTAMA!G44</f>
        <v>119.75</v>
      </c>
      <c r="F44" s="94">
        <f>+UTAMA!H44</f>
        <v>2.3010000000000002</v>
      </c>
      <c r="G44" s="93">
        <f>+UTAMA!I44</f>
        <v>120.75</v>
      </c>
      <c r="H44" s="94">
        <f>+UTAMA!J44</f>
        <v>4.154369</v>
      </c>
      <c r="I44" s="102">
        <v>782</v>
      </c>
      <c r="K44" s="128"/>
      <c r="L44" s="128"/>
      <c r="M44" s="128"/>
      <c r="N44" s="104"/>
    </row>
    <row r="45" spans="1:14" ht="15.75" x14ac:dyDescent="0.25">
      <c r="A45" s="129">
        <f t="shared" si="0"/>
        <v>35</v>
      </c>
      <c r="B45" s="130" t="s">
        <v>63</v>
      </c>
      <c r="C45" s="93">
        <f>+UTAMA!E45</f>
        <v>110.56</v>
      </c>
      <c r="D45" s="94">
        <f>+UTAMA!F45</f>
        <v>2.75</v>
      </c>
      <c r="E45" s="105">
        <f>+UTAMA!G45</f>
        <v>109.6</v>
      </c>
      <c r="F45" s="94">
        <f>+UTAMA!H45</f>
        <v>1.393</v>
      </c>
      <c r="G45" s="93">
        <f>+UTAMA!I45</f>
        <v>110.55</v>
      </c>
      <c r="H45" s="94">
        <f>+UTAMA!J45</f>
        <v>2.7310267800000001</v>
      </c>
      <c r="I45" s="102">
        <v>43</v>
      </c>
      <c r="K45" s="128"/>
      <c r="L45" s="128"/>
      <c r="M45" s="128"/>
      <c r="N45" s="104"/>
    </row>
    <row r="46" spans="1:14" ht="15.75" x14ac:dyDescent="0.25">
      <c r="A46" s="129">
        <f t="shared" si="0"/>
        <v>36</v>
      </c>
      <c r="B46" s="130" t="s">
        <v>64</v>
      </c>
      <c r="C46" s="93">
        <f>+UTAMA!E46</f>
        <v>72</v>
      </c>
      <c r="D46" s="94">
        <f>+UTAMA!F46</f>
        <v>38.036000000000001</v>
      </c>
      <c r="E46" s="105">
        <f>+UTAMA!G46</f>
        <v>67</v>
      </c>
      <c r="F46" s="94">
        <f>+UTAMA!H46</f>
        <v>26.411000000000001</v>
      </c>
      <c r="G46" s="93">
        <f>+UTAMA!I46</f>
        <v>70.099999999999994</v>
      </c>
      <c r="H46" s="94">
        <f>+UTAMA!J46</f>
        <v>33.387</v>
      </c>
      <c r="I46" s="98">
        <v>6485</v>
      </c>
      <c r="K46" s="128"/>
      <c r="L46" s="128"/>
      <c r="M46" s="128"/>
      <c r="N46" s="104"/>
    </row>
    <row r="47" spans="1:14" ht="15.75" x14ac:dyDescent="0.25">
      <c r="A47" s="129">
        <f t="shared" si="0"/>
        <v>37</v>
      </c>
      <c r="B47" s="130" t="s">
        <v>65</v>
      </c>
      <c r="C47" s="93">
        <f>+UTAMA!E47</f>
        <v>185</v>
      </c>
      <c r="D47" s="94">
        <f>+UTAMA!F47</f>
        <v>388.72199999999998</v>
      </c>
      <c r="E47" s="105">
        <f>+UTAMA!G47</f>
        <v>175.5</v>
      </c>
      <c r="F47" s="94">
        <f>+UTAMA!H47</f>
        <v>294.71899999999999</v>
      </c>
      <c r="G47" s="93">
        <f>+UTAMA!I47</f>
        <v>174.4</v>
      </c>
      <c r="H47" s="94">
        <f>+UTAMA!J47</f>
        <v>284.452</v>
      </c>
      <c r="I47" s="98">
        <v>31109</v>
      </c>
      <c r="K47" s="128"/>
      <c r="L47" s="128"/>
      <c r="M47" s="128"/>
      <c r="N47" s="104"/>
    </row>
    <row r="48" spans="1:14" ht="16.5" thickBot="1" x14ac:dyDescent="0.3">
      <c r="A48" s="132">
        <f t="shared" si="0"/>
        <v>38</v>
      </c>
      <c r="B48" s="133" t="s">
        <v>66</v>
      </c>
      <c r="C48" s="93">
        <f>+UTAMA!E48</f>
        <v>231</v>
      </c>
      <c r="D48" s="94">
        <f>+UTAMA!F48</f>
        <v>23.24</v>
      </c>
      <c r="E48" s="105">
        <f>+UTAMA!G48</f>
        <v>228.77</v>
      </c>
      <c r="F48" s="94">
        <f>+UTAMA!H48</f>
        <v>6.1959999999999997</v>
      </c>
      <c r="G48" s="93">
        <f>+UTAMA!I48</f>
        <v>229.84</v>
      </c>
      <c r="H48" s="94">
        <f>+UTAMA!J48</f>
        <v>11.25</v>
      </c>
      <c r="I48" s="106">
        <v>8400</v>
      </c>
      <c r="K48" s="128"/>
      <c r="L48" s="128"/>
      <c r="M48" s="128"/>
      <c r="N48" s="99"/>
    </row>
    <row r="49" spans="1:14" ht="16.5" thickBot="1" x14ac:dyDescent="0.3">
      <c r="A49" s="134"/>
      <c r="B49" s="124" t="s">
        <v>67</v>
      </c>
      <c r="C49" s="107"/>
      <c r="D49" s="135">
        <f>SUM(D11:D48)</f>
        <v>1787.681478</v>
      </c>
      <c r="E49" s="107"/>
      <c r="F49" s="135">
        <f>SUM(F11:F48)</f>
        <v>1441.0139369999997</v>
      </c>
      <c r="G49" s="107"/>
      <c r="H49" s="135">
        <f>SUM(H11:H48)</f>
        <v>1333.9508254715649</v>
      </c>
      <c r="I49" s="136">
        <f>SUM(I11:I48)</f>
        <v>270584</v>
      </c>
      <c r="K49" s="128"/>
      <c r="L49" s="128"/>
      <c r="M49" s="128"/>
      <c r="N49" s="99"/>
    </row>
    <row r="50" spans="1:14" ht="16.5" thickBot="1" x14ac:dyDescent="0.3">
      <c r="A50" s="137" t="s">
        <v>68</v>
      </c>
      <c r="B50" s="124" t="s">
        <v>69</v>
      </c>
      <c r="C50" s="107"/>
      <c r="D50" s="135"/>
      <c r="E50" s="138"/>
      <c r="F50" s="139">
        <v>1</v>
      </c>
      <c r="G50" s="107"/>
      <c r="H50" s="140">
        <f>+H49/F49</f>
        <v>0.9257029312628815</v>
      </c>
      <c r="I50" s="141"/>
      <c r="K50" s="128"/>
      <c r="L50" s="128"/>
      <c r="M50" s="128"/>
      <c r="N50" s="104"/>
    </row>
    <row r="51" spans="1:14" ht="15.75" x14ac:dyDescent="0.25">
      <c r="A51" s="71"/>
      <c r="D51" s="108"/>
      <c r="E51" s="109"/>
      <c r="F51" s="142"/>
      <c r="H51" s="143"/>
      <c r="I51" s="143"/>
      <c r="K51" s="128"/>
      <c r="L51" s="128"/>
      <c r="M51" s="128"/>
      <c r="N51" s="104"/>
    </row>
    <row r="52" spans="1:14" x14ac:dyDescent="0.2">
      <c r="K52" s="110"/>
      <c r="L52" s="110"/>
      <c r="M52" s="110"/>
      <c r="N52" s="110"/>
    </row>
    <row r="53" spans="1:14" x14ac:dyDescent="0.2">
      <c r="K53" s="110"/>
      <c r="L53" s="110"/>
      <c r="M53" s="110"/>
      <c r="N53" s="110"/>
    </row>
    <row r="54" spans="1:14" x14ac:dyDescent="0.2">
      <c r="K54" s="110"/>
      <c r="L54" s="110"/>
      <c r="M54" s="110"/>
      <c r="N54" s="110"/>
    </row>
    <row r="55" spans="1:14" x14ac:dyDescent="0.2">
      <c r="K55" s="110"/>
      <c r="L55" s="110"/>
      <c r="M55" s="110"/>
      <c r="N55" s="110"/>
    </row>
    <row r="56" spans="1:14" x14ac:dyDescent="0.2">
      <c r="K56" s="110"/>
      <c r="L56" s="110"/>
      <c r="M56" s="110"/>
      <c r="N56" s="110"/>
    </row>
    <row r="57" spans="1:14" x14ac:dyDescent="0.2">
      <c r="K57" s="110"/>
      <c r="L57" s="110"/>
      <c r="M57" s="110"/>
      <c r="N57" s="110"/>
    </row>
    <row r="58" spans="1:14" x14ac:dyDescent="0.2">
      <c r="K58" s="110"/>
      <c r="L58" s="110"/>
      <c r="M58" s="110"/>
      <c r="N58" s="110"/>
    </row>
    <row r="59" spans="1:14" x14ac:dyDescent="0.2">
      <c r="K59" s="110"/>
      <c r="L59" s="110"/>
      <c r="M59" s="110"/>
      <c r="N59" s="110"/>
    </row>
    <row r="60" spans="1:14" x14ac:dyDescent="0.2">
      <c r="K60" s="110"/>
      <c r="L60" s="110"/>
      <c r="M60" s="110"/>
      <c r="N60" s="110"/>
    </row>
    <row r="61" spans="1:14" x14ac:dyDescent="0.2">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1:BE456"/>
  <sheetViews>
    <sheetView showGridLines="0" topLeftCell="N6" zoomScale="60" zoomScaleNormal="60" workbookViewId="0">
      <selection activeCell="AG11" sqref="AG11:AG17"/>
    </sheetView>
  </sheetViews>
  <sheetFormatPr defaultRowHeight="27" customHeight="1" x14ac:dyDescent="0.2"/>
  <cols>
    <col min="1" max="1" width="11.85546875" style="216" customWidth="1"/>
    <col min="2" max="2" width="5" style="216" customWidth="1"/>
    <col min="3" max="3" width="18.42578125" style="216" customWidth="1"/>
    <col min="4" max="4" width="16.2851562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4"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7.14062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x14ac:dyDescent="0.25">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x14ac:dyDescent="0.3">
      <c r="B2" s="846" t="s">
        <v>271</v>
      </c>
      <c r="C2" s="846"/>
      <c r="D2" s="846"/>
      <c r="E2" s="846"/>
      <c r="F2" s="846"/>
      <c r="G2" s="846"/>
      <c r="H2" s="846"/>
      <c r="I2" s="846"/>
      <c r="J2" s="846"/>
      <c r="K2" s="846"/>
      <c r="L2" s="846"/>
      <c r="N2" s="834" t="s">
        <v>169</v>
      </c>
      <c r="O2" s="835"/>
      <c r="P2" s="835"/>
      <c r="Q2" s="835"/>
      <c r="R2" s="835"/>
      <c r="S2" s="835"/>
      <c r="T2" s="835"/>
      <c r="U2" s="835"/>
      <c r="V2" s="835"/>
      <c r="W2" s="835"/>
      <c r="X2" s="835"/>
      <c r="Y2" s="835"/>
      <c r="Z2" s="836"/>
      <c r="AB2" s="829" t="s">
        <v>210</v>
      </c>
      <c r="AC2" s="829"/>
      <c r="AD2" s="829"/>
      <c r="AE2" s="829"/>
      <c r="AF2" s="829"/>
      <c r="AG2" s="829"/>
      <c r="AH2" s="829"/>
      <c r="AI2" s="829"/>
      <c r="AJ2" s="829"/>
      <c r="AK2" s="829"/>
      <c r="AL2" s="829"/>
      <c r="AM2" s="829"/>
      <c r="AN2" s="829"/>
      <c r="AO2"/>
      <c r="AP2"/>
      <c r="AQ2" s="830"/>
      <c r="AR2" s="830"/>
      <c r="AS2" s="830"/>
      <c r="AT2"/>
      <c r="AU2"/>
      <c r="AV2"/>
      <c r="AW2"/>
      <c r="AX2"/>
      <c r="AY2"/>
      <c r="AZ2"/>
      <c r="BA2"/>
      <c r="BB2"/>
      <c r="BC2"/>
      <c r="BD2"/>
      <c r="BE2"/>
    </row>
    <row r="3" spans="2:57" ht="27" customHeight="1" x14ac:dyDescent="0.3">
      <c r="B3" s="846"/>
      <c r="C3" s="846"/>
      <c r="D3" s="846"/>
      <c r="E3" s="846"/>
      <c r="F3" s="846"/>
      <c r="G3" s="846"/>
      <c r="H3" s="846"/>
      <c r="I3" s="846"/>
      <c r="J3" s="846"/>
      <c r="K3" s="846"/>
      <c r="L3" s="846"/>
      <c r="N3" s="831" t="s">
        <v>227</v>
      </c>
      <c r="O3" s="832"/>
      <c r="P3" s="832"/>
      <c r="Q3" s="832"/>
      <c r="R3" s="832"/>
      <c r="S3" s="832"/>
      <c r="T3" s="832"/>
      <c r="U3" s="832"/>
      <c r="V3" s="832"/>
      <c r="W3" s="832"/>
      <c r="X3" s="832"/>
      <c r="Y3" s="832"/>
      <c r="Z3" s="833"/>
      <c r="AB3" s="829" t="s">
        <v>306</v>
      </c>
      <c r="AC3" s="829"/>
      <c r="AD3" s="829"/>
      <c r="AE3" s="829"/>
      <c r="AF3" s="829"/>
      <c r="AG3" s="829"/>
      <c r="AH3" s="829"/>
      <c r="AI3" s="829"/>
      <c r="AJ3" s="829"/>
      <c r="AK3" s="829"/>
      <c r="AL3" s="829"/>
      <c r="AM3" s="829"/>
      <c r="AN3" s="829"/>
      <c r="AO3"/>
      <c r="AP3"/>
      <c r="AQ3"/>
      <c r="AR3"/>
      <c r="AS3"/>
      <c r="AT3"/>
      <c r="AU3"/>
      <c r="AV3"/>
      <c r="AW3"/>
      <c r="AX3"/>
      <c r="AY3"/>
      <c r="AZ3"/>
      <c r="BA3"/>
      <c r="BB3"/>
      <c r="BC3"/>
      <c r="BD3"/>
      <c r="BE3"/>
    </row>
    <row r="4" spans="2:57" ht="27" customHeight="1" thickBot="1" x14ac:dyDescent="0.25">
      <c r="B4" s="845" t="s">
        <v>310</v>
      </c>
      <c r="C4" s="845"/>
      <c r="D4" s="845"/>
      <c r="E4" s="845"/>
      <c r="F4" s="845"/>
      <c r="G4" s="845"/>
      <c r="H4" s="845"/>
      <c r="I4" s="845"/>
      <c r="J4" s="845"/>
      <c r="K4" s="845"/>
      <c r="L4" s="845"/>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17.25" customHeight="1" thickBot="1" x14ac:dyDescent="0.25">
      <c r="B5" s="389"/>
      <c r="C5" s="389"/>
      <c r="D5" s="389"/>
      <c r="E5" s="389"/>
      <c r="F5" s="389"/>
      <c r="G5" s="389"/>
      <c r="H5" s="389"/>
      <c r="I5" s="389"/>
      <c r="J5" s="389"/>
      <c r="K5" s="389"/>
      <c r="L5" s="389"/>
      <c r="N5" s="839" t="s">
        <v>133</v>
      </c>
      <c r="O5" s="841" t="s">
        <v>134</v>
      </c>
      <c r="P5" s="841" t="s">
        <v>135</v>
      </c>
      <c r="Q5" s="841" t="s">
        <v>136</v>
      </c>
      <c r="R5" s="841" t="s">
        <v>137</v>
      </c>
      <c r="S5" s="841" t="s">
        <v>119</v>
      </c>
      <c r="T5" s="841" t="s">
        <v>138</v>
      </c>
      <c r="U5" s="841" t="s">
        <v>139</v>
      </c>
      <c r="V5" s="841" t="s">
        <v>140</v>
      </c>
      <c r="W5" s="841" t="s">
        <v>141</v>
      </c>
      <c r="X5" s="841" t="s">
        <v>142</v>
      </c>
      <c r="Y5" s="841" t="s">
        <v>143</v>
      </c>
      <c r="Z5" s="843" t="s">
        <v>144</v>
      </c>
      <c r="AB5" s="667" t="s">
        <v>133</v>
      </c>
      <c r="AC5" s="668" t="s">
        <v>134</v>
      </c>
      <c r="AD5" s="669" t="s">
        <v>135</v>
      </c>
      <c r="AE5" s="669" t="s">
        <v>136</v>
      </c>
      <c r="AF5" s="669" t="s">
        <v>137</v>
      </c>
      <c r="AG5" s="669" t="s">
        <v>119</v>
      </c>
      <c r="AH5" s="669" t="s">
        <v>138</v>
      </c>
      <c r="AI5" s="669" t="s">
        <v>139</v>
      </c>
      <c r="AJ5" s="669" t="s">
        <v>140</v>
      </c>
      <c r="AK5" s="669" t="s">
        <v>141</v>
      </c>
      <c r="AL5" s="669" t="s">
        <v>142</v>
      </c>
      <c r="AM5" s="669" t="s">
        <v>143</v>
      </c>
      <c r="AN5" s="670" t="s">
        <v>144</v>
      </c>
      <c r="AO5" s="672"/>
      <c r="AP5"/>
      <c r="AQ5"/>
      <c r="AR5"/>
      <c r="AS5"/>
      <c r="AT5"/>
      <c r="AU5"/>
      <c r="AV5"/>
      <c r="AW5"/>
      <c r="AX5"/>
      <c r="AY5"/>
      <c r="AZ5"/>
      <c r="BA5"/>
      <c r="BB5"/>
      <c r="BC5"/>
      <c r="BD5"/>
      <c r="BE5"/>
    </row>
    <row r="6" spans="2:57" ht="27" customHeight="1" thickBot="1" x14ac:dyDescent="0.25">
      <c r="B6" s="390"/>
      <c r="C6" s="580"/>
      <c r="D6" s="580"/>
      <c r="E6" s="580"/>
      <c r="F6" s="581">
        <v>11</v>
      </c>
      <c r="G6" s="392" t="s">
        <v>6</v>
      </c>
      <c r="H6" s="581">
        <v>2020</v>
      </c>
      <c r="I6" s="580"/>
      <c r="J6" s="580"/>
      <c r="K6" s="580"/>
      <c r="L6" s="582"/>
      <c r="N6" s="840"/>
      <c r="O6" s="842"/>
      <c r="P6" s="842"/>
      <c r="Q6" s="842"/>
      <c r="R6" s="842"/>
      <c r="S6" s="842"/>
      <c r="T6" s="842"/>
      <c r="U6" s="842"/>
      <c r="V6" s="842"/>
      <c r="W6" s="842"/>
      <c r="X6" s="842"/>
      <c r="Y6" s="842"/>
      <c r="Z6" s="844"/>
      <c r="AB6" s="671"/>
      <c r="AC6" s="673"/>
      <c r="AD6" s="674"/>
      <c r="AE6" s="674"/>
      <c r="AF6" s="674"/>
      <c r="AG6" s="674"/>
      <c r="AH6" s="674"/>
      <c r="AI6" s="674"/>
      <c r="AJ6" s="674"/>
      <c r="AK6" s="674"/>
      <c r="AL6" s="674"/>
      <c r="AM6" s="674"/>
      <c r="AN6" s="675"/>
      <c r="AO6" s="672"/>
      <c r="AP6"/>
      <c r="AQ6"/>
      <c r="AR6"/>
      <c r="AS6"/>
      <c r="AT6"/>
      <c r="AU6"/>
      <c r="AV6"/>
      <c r="AW6"/>
      <c r="AX6"/>
      <c r="AY6"/>
      <c r="AZ6"/>
      <c r="BA6"/>
      <c r="BB6"/>
      <c r="BC6"/>
      <c r="BD6"/>
      <c r="BE6"/>
    </row>
    <row r="7" spans="2:57" ht="27" customHeight="1" thickBot="1" x14ac:dyDescent="0.25">
      <c r="B7" s="850" t="s">
        <v>18</v>
      </c>
      <c r="C7" s="853" t="s">
        <v>19</v>
      </c>
      <c r="D7" s="853" t="s">
        <v>75</v>
      </c>
      <c r="E7" s="856" t="s">
        <v>20</v>
      </c>
      <c r="F7" s="857"/>
      <c r="G7" s="856" t="s">
        <v>96</v>
      </c>
      <c r="H7" s="857"/>
      <c r="I7" s="856" t="s">
        <v>22</v>
      </c>
      <c r="J7" s="857"/>
      <c r="K7" s="861" t="s">
        <v>206</v>
      </c>
      <c r="L7" s="847" t="s">
        <v>74</v>
      </c>
      <c r="N7" s="233">
        <v>1</v>
      </c>
      <c r="O7" s="498">
        <v>561.32000000000005</v>
      </c>
      <c r="P7" s="495">
        <v>696.57</v>
      </c>
      <c r="Q7" s="495">
        <v>1045.22</v>
      </c>
      <c r="R7" s="236">
        <v>1212.3399999999999</v>
      </c>
      <c r="S7" s="495">
        <v>1293.04</v>
      </c>
      <c r="T7" s="495">
        <v>1286.17</v>
      </c>
      <c r="U7" s="236">
        <v>0</v>
      </c>
      <c r="V7" s="236">
        <v>0</v>
      </c>
      <c r="W7" s="236">
        <v>0</v>
      </c>
      <c r="X7" s="236">
        <v>0</v>
      </c>
      <c r="Y7" s="236">
        <v>0</v>
      </c>
      <c r="Z7" s="237">
        <v>0</v>
      </c>
      <c r="AB7" s="664">
        <v>1</v>
      </c>
      <c r="AC7" s="676">
        <v>338.45</v>
      </c>
      <c r="AD7" s="677">
        <v>594.27</v>
      </c>
      <c r="AE7" s="677">
        <v>908.93</v>
      </c>
      <c r="AF7" s="677">
        <v>1274.99</v>
      </c>
      <c r="AG7" s="677">
        <v>1330.3</v>
      </c>
      <c r="AH7" s="677">
        <v>0</v>
      </c>
      <c r="AI7" s="677">
        <v>0</v>
      </c>
      <c r="AJ7" s="677">
        <v>0</v>
      </c>
      <c r="AK7" s="677">
        <v>0</v>
      </c>
      <c r="AL7" s="677">
        <v>0</v>
      </c>
      <c r="AM7" s="677">
        <v>0</v>
      </c>
      <c r="AN7" s="678">
        <v>0</v>
      </c>
      <c r="AO7" s="672"/>
      <c r="AP7"/>
      <c r="AQ7"/>
      <c r="AR7"/>
      <c r="AS7"/>
      <c r="AT7"/>
      <c r="AU7"/>
      <c r="AV7"/>
      <c r="AW7"/>
      <c r="AX7"/>
      <c r="AY7"/>
      <c r="AZ7"/>
      <c r="BA7"/>
      <c r="BB7"/>
      <c r="BC7"/>
      <c r="BD7"/>
      <c r="BE7"/>
    </row>
    <row r="8" spans="2:57" ht="27" customHeight="1" thickBot="1" x14ac:dyDescent="0.25">
      <c r="B8" s="851"/>
      <c r="C8" s="854"/>
      <c r="D8" s="854"/>
      <c r="E8" s="725" t="s">
        <v>24</v>
      </c>
      <c r="F8" s="725" t="s">
        <v>25</v>
      </c>
      <c r="G8" s="726" t="s">
        <v>24</v>
      </c>
      <c r="H8" s="725" t="s">
        <v>25</v>
      </c>
      <c r="I8" s="726" t="s">
        <v>24</v>
      </c>
      <c r="J8" s="725" t="s">
        <v>25</v>
      </c>
      <c r="K8" s="862"/>
      <c r="L8" s="848"/>
      <c r="M8" s="224"/>
      <c r="N8" s="231">
        <v>2</v>
      </c>
      <c r="O8" s="499">
        <v>557.51</v>
      </c>
      <c r="P8" s="496">
        <v>693.59</v>
      </c>
      <c r="Q8" s="496">
        <v>1042.53</v>
      </c>
      <c r="R8" s="238">
        <v>1218.92</v>
      </c>
      <c r="S8" s="496">
        <v>1290.55</v>
      </c>
      <c r="T8" s="496">
        <v>1289.7</v>
      </c>
      <c r="U8" s="238">
        <v>0</v>
      </c>
      <c r="V8" s="238">
        <v>0</v>
      </c>
      <c r="W8" s="238">
        <v>0</v>
      </c>
      <c r="X8" s="238">
        <v>0</v>
      </c>
      <c r="Y8" s="238">
        <v>0</v>
      </c>
      <c r="Z8" s="239">
        <v>0</v>
      </c>
      <c r="AB8" s="665">
        <v>2</v>
      </c>
      <c r="AC8" s="676">
        <v>347.35</v>
      </c>
      <c r="AD8" s="677">
        <v>600.49</v>
      </c>
      <c r="AE8" s="677">
        <v>933.5</v>
      </c>
      <c r="AF8" s="677">
        <v>1288.1300000000001</v>
      </c>
      <c r="AG8" s="677">
        <v>1329.69</v>
      </c>
      <c r="AH8" s="677">
        <v>0</v>
      </c>
      <c r="AI8" s="677">
        <v>0</v>
      </c>
      <c r="AJ8" s="677">
        <v>0</v>
      </c>
      <c r="AK8" s="677">
        <v>0</v>
      </c>
      <c r="AL8" s="677">
        <v>0</v>
      </c>
      <c r="AM8" s="677">
        <v>0</v>
      </c>
      <c r="AN8" s="678">
        <v>0</v>
      </c>
      <c r="AO8" s="672"/>
      <c r="AP8"/>
      <c r="AQ8"/>
      <c r="AR8"/>
      <c r="AS8"/>
      <c r="AT8"/>
      <c r="AU8"/>
      <c r="AV8"/>
      <c r="AW8"/>
      <c r="AX8"/>
      <c r="AY8"/>
      <c r="AZ8"/>
      <c r="BA8"/>
      <c r="BB8"/>
      <c r="BC8"/>
      <c r="BD8"/>
      <c r="BE8"/>
    </row>
    <row r="9" spans="2:57" ht="27" customHeight="1" thickBot="1" x14ac:dyDescent="0.25">
      <c r="B9" s="852"/>
      <c r="C9" s="855"/>
      <c r="D9" s="855"/>
      <c r="E9" s="727" t="s">
        <v>26</v>
      </c>
      <c r="F9" s="727" t="s">
        <v>299</v>
      </c>
      <c r="G9" s="728" t="s">
        <v>26</v>
      </c>
      <c r="H9" s="727" t="s">
        <v>299</v>
      </c>
      <c r="I9" s="728" t="s">
        <v>26</v>
      </c>
      <c r="J9" s="727" t="s">
        <v>299</v>
      </c>
      <c r="K9" s="863"/>
      <c r="L9" s="849"/>
      <c r="M9" s="224"/>
      <c r="N9" s="231">
        <v>3</v>
      </c>
      <c r="O9" s="499">
        <v>556.70000000000005</v>
      </c>
      <c r="P9" s="496">
        <v>696.47</v>
      </c>
      <c r="Q9" s="496">
        <v>1042.73</v>
      </c>
      <c r="R9" s="238">
        <v>1227</v>
      </c>
      <c r="S9" s="496">
        <v>1284</v>
      </c>
      <c r="T9" s="496">
        <v>1301.4100000000001</v>
      </c>
      <c r="U9" s="238">
        <v>0</v>
      </c>
      <c r="V9" s="238">
        <v>0</v>
      </c>
      <c r="W9" s="238">
        <v>0</v>
      </c>
      <c r="X9" s="238">
        <v>0</v>
      </c>
      <c r="Y9" s="238">
        <v>0</v>
      </c>
      <c r="Z9" s="239">
        <v>0</v>
      </c>
      <c r="AB9" s="665">
        <v>3</v>
      </c>
      <c r="AC9" s="676">
        <v>375.14</v>
      </c>
      <c r="AD9" s="677">
        <v>602.54999999999995</v>
      </c>
      <c r="AE9" s="677">
        <v>960.8</v>
      </c>
      <c r="AF9" s="677">
        <v>1287.52</v>
      </c>
      <c r="AG9" s="677">
        <v>1328</v>
      </c>
      <c r="AH9" s="677">
        <v>0</v>
      </c>
      <c r="AI9" s="677">
        <v>0</v>
      </c>
      <c r="AJ9" s="677">
        <v>0</v>
      </c>
      <c r="AK9" s="677">
        <v>0</v>
      </c>
      <c r="AL9" s="677">
        <v>0</v>
      </c>
      <c r="AM9" s="677">
        <v>0</v>
      </c>
      <c r="AN9" s="678">
        <v>0</v>
      </c>
      <c r="AO9" s="672"/>
      <c r="AP9"/>
      <c r="AQ9"/>
      <c r="AR9"/>
      <c r="AS9"/>
      <c r="AT9"/>
      <c r="AU9"/>
      <c r="AV9"/>
      <c r="AW9"/>
      <c r="AX9"/>
      <c r="AY9"/>
      <c r="AZ9"/>
      <c r="BA9"/>
      <c r="BB9"/>
      <c r="BC9"/>
      <c r="BD9"/>
      <c r="BE9"/>
    </row>
    <row r="10" spans="2:57" ht="27" customHeight="1" thickBot="1" x14ac:dyDescent="0.25">
      <c r="B10" s="729">
        <v>1</v>
      </c>
      <c r="C10" s="730">
        <v>2</v>
      </c>
      <c r="D10" s="730">
        <v>3</v>
      </c>
      <c r="E10" s="730">
        <v>4</v>
      </c>
      <c r="F10" s="730">
        <v>5</v>
      </c>
      <c r="G10" s="730">
        <v>6</v>
      </c>
      <c r="H10" s="730">
        <v>7</v>
      </c>
      <c r="I10" s="730">
        <v>8</v>
      </c>
      <c r="J10" s="730">
        <v>9</v>
      </c>
      <c r="K10" s="731">
        <v>10</v>
      </c>
      <c r="L10" s="732"/>
      <c r="M10" s="224"/>
      <c r="N10" s="231">
        <v>4</v>
      </c>
      <c r="O10" s="499">
        <v>559.78</v>
      </c>
      <c r="P10" s="496">
        <v>698.15</v>
      </c>
      <c r="Q10" s="496">
        <v>1048.6199999999999</v>
      </c>
      <c r="R10" s="238">
        <v>1232.53</v>
      </c>
      <c r="S10" s="496">
        <v>1278</v>
      </c>
      <c r="T10" s="496">
        <v>1304.31</v>
      </c>
      <c r="U10" s="238">
        <v>0</v>
      </c>
      <c r="V10" s="238">
        <v>0</v>
      </c>
      <c r="W10" s="238">
        <v>0</v>
      </c>
      <c r="X10" s="238">
        <v>0</v>
      </c>
      <c r="Y10" s="238">
        <v>0</v>
      </c>
      <c r="Z10" s="239">
        <v>0</v>
      </c>
      <c r="AB10" s="665">
        <v>4</v>
      </c>
      <c r="AC10" s="676">
        <v>385.98</v>
      </c>
      <c r="AD10" s="677">
        <v>612.39</v>
      </c>
      <c r="AE10" s="677">
        <v>984.16</v>
      </c>
      <c r="AF10" s="677">
        <v>1299.08</v>
      </c>
      <c r="AG10" s="677">
        <v>1324.7</v>
      </c>
      <c r="AH10" s="677">
        <v>0</v>
      </c>
      <c r="AI10" s="677">
        <v>0</v>
      </c>
      <c r="AJ10" s="677">
        <v>0</v>
      </c>
      <c r="AK10" s="677">
        <v>0</v>
      </c>
      <c r="AL10" s="677">
        <v>0</v>
      </c>
      <c r="AM10" s="677">
        <v>0</v>
      </c>
      <c r="AN10" s="678">
        <v>0</v>
      </c>
      <c r="AO10" s="672"/>
      <c r="AP10"/>
      <c r="AQ10"/>
      <c r="AR10"/>
      <c r="AS10"/>
      <c r="AT10"/>
      <c r="AU10"/>
      <c r="AV10"/>
      <c r="AW10"/>
      <c r="AX10"/>
      <c r="AY10"/>
      <c r="AZ10"/>
      <c r="BA10"/>
      <c r="BB10"/>
      <c r="BC10"/>
      <c r="BD10"/>
      <c r="BE10"/>
    </row>
    <row r="11" spans="2:57" ht="27" customHeight="1" thickBot="1" x14ac:dyDescent="0.25">
      <c r="B11" s="395">
        <v>1</v>
      </c>
      <c r="C11" s="585" t="s">
        <v>28</v>
      </c>
      <c r="D11" s="585" t="s">
        <v>76</v>
      </c>
      <c r="E11" s="586">
        <v>55.77</v>
      </c>
      <c r="F11" s="587">
        <v>31.144597999999998</v>
      </c>
      <c r="G11" s="588">
        <v>55.56</v>
      </c>
      <c r="H11" s="588">
        <v>29.92764</v>
      </c>
      <c r="I11" s="588">
        <v>55.61</v>
      </c>
      <c r="J11" s="801">
        <v>30.20984</v>
      </c>
      <c r="K11" s="589" t="s">
        <v>195</v>
      </c>
      <c r="L11" s="590">
        <f>IF(J12=0,"Waduk Kosong",)</f>
        <v>0</v>
      </c>
      <c r="M11" s="224"/>
      <c r="N11" s="231">
        <v>5</v>
      </c>
      <c r="O11" s="499">
        <v>557.70000000000005</v>
      </c>
      <c r="P11" s="496">
        <v>703.09</v>
      </c>
      <c r="Q11" s="496">
        <v>1050.08</v>
      </c>
      <c r="R11" s="238">
        <v>1240.8499999999999</v>
      </c>
      <c r="S11" s="496">
        <v>1278.74</v>
      </c>
      <c r="T11" s="496">
        <v>1293.1400000000001</v>
      </c>
      <c r="U11" s="238">
        <v>0</v>
      </c>
      <c r="V11" s="238">
        <v>0</v>
      </c>
      <c r="W11" s="238">
        <v>0</v>
      </c>
      <c r="X11" s="238">
        <v>0</v>
      </c>
      <c r="Y11" s="238">
        <v>0</v>
      </c>
      <c r="Z11" s="239">
        <v>0</v>
      </c>
      <c r="AB11" s="665">
        <v>5</v>
      </c>
      <c r="AC11" s="676">
        <v>402.33</v>
      </c>
      <c r="AD11" s="677">
        <v>616.53</v>
      </c>
      <c r="AE11" s="677">
        <v>1015.13</v>
      </c>
      <c r="AF11" s="677">
        <v>1296.76</v>
      </c>
      <c r="AG11" s="677">
        <v>1323.86</v>
      </c>
      <c r="AH11" s="677">
        <v>0</v>
      </c>
      <c r="AI11" s="677">
        <v>0</v>
      </c>
      <c r="AJ11" s="677">
        <v>0</v>
      </c>
      <c r="AK11" s="677">
        <v>0</v>
      </c>
      <c r="AL11" s="677">
        <v>0</v>
      </c>
      <c r="AM11" s="677">
        <v>0</v>
      </c>
      <c r="AN11" s="678">
        <v>0</v>
      </c>
      <c r="AO11" s="672"/>
      <c r="AP11"/>
      <c r="AQ11"/>
      <c r="AR11"/>
      <c r="AS11"/>
      <c r="AT11"/>
      <c r="AU11"/>
      <c r="AV11"/>
      <c r="AW11"/>
      <c r="AX11"/>
      <c r="AY11"/>
      <c r="AZ11"/>
      <c r="BA11"/>
      <c r="BB11"/>
      <c r="BC11"/>
      <c r="BD11"/>
      <c r="BE11"/>
    </row>
    <row r="12" spans="2:57" ht="27" customHeight="1" thickBot="1" x14ac:dyDescent="0.25">
      <c r="B12" s="398">
        <f>+B11+1</f>
        <v>2</v>
      </c>
      <c r="C12" s="591" t="s">
        <v>29</v>
      </c>
      <c r="D12" s="591" t="s">
        <v>76</v>
      </c>
      <c r="E12" s="592">
        <v>339.5</v>
      </c>
      <c r="F12" s="593">
        <v>7.77</v>
      </c>
      <c r="G12" s="594">
        <v>339.29</v>
      </c>
      <c r="H12" s="595">
        <v>7.593</v>
      </c>
      <c r="I12" s="594">
        <v>338.98</v>
      </c>
      <c r="J12" s="802">
        <v>7.335</v>
      </c>
      <c r="K12" s="589" t="s">
        <v>196</v>
      </c>
      <c r="L12" s="590">
        <f>IF(J13=0,"Waduk Kosong",)</f>
        <v>0</v>
      </c>
      <c r="M12" s="224"/>
      <c r="N12" s="231">
        <v>6</v>
      </c>
      <c r="O12" s="499">
        <v>562.55999999999995</v>
      </c>
      <c r="P12" s="496">
        <v>729.55</v>
      </c>
      <c r="Q12" s="496">
        <v>1060.3699999999999</v>
      </c>
      <c r="R12" s="238">
        <v>1246.31</v>
      </c>
      <c r="S12" s="496">
        <v>1273.17</v>
      </c>
      <c r="T12" s="496">
        <v>1292.45</v>
      </c>
      <c r="U12" s="238">
        <v>0</v>
      </c>
      <c r="V12" s="238">
        <v>0</v>
      </c>
      <c r="W12" s="238">
        <v>0</v>
      </c>
      <c r="X12" s="238">
        <v>0</v>
      </c>
      <c r="Y12" s="238">
        <v>0</v>
      </c>
      <c r="Z12" s="239">
        <v>0</v>
      </c>
      <c r="AB12" s="666">
        <v>6</v>
      </c>
      <c r="AC12" s="676">
        <v>413.63</v>
      </c>
      <c r="AD12" s="677">
        <v>623.99</v>
      </c>
      <c r="AE12" s="677">
        <v>1039.57</v>
      </c>
      <c r="AF12" s="677">
        <v>1297.17</v>
      </c>
      <c r="AG12" s="677">
        <v>1322.17</v>
      </c>
      <c r="AH12" s="677">
        <v>0</v>
      </c>
      <c r="AI12" s="677">
        <v>0</v>
      </c>
      <c r="AJ12" s="677">
        <v>0</v>
      </c>
      <c r="AK12" s="677">
        <v>0</v>
      </c>
      <c r="AL12" s="677">
        <v>0</v>
      </c>
      <c r="AM12" s="677">
        <v>0</v>
      </c>
      <c r="AN12" s="678">
        <v>0</v>
      </c>
      <c r="AO12" s="672"/>
      <c r="AP12"/>
      <c r="AQ12"/>
      <c r="AR12"/>
      <c r="AS12"/>
      <c r="AT12"/>
      <c r="AU12"/>
      <c r="AV12"/>
      <c r="AW12"/>
      <c r="AX12"/>
      <c r="AY12"/>
      <c r="AZ12"/>
      <c r="BA12"/>
      <c r="BB12"/>
      <c r="BC12"/>
      <c r="BD12"/>
      <c r="BE12"/>
    </row>
    <row r="13" spans="2:57" ht="27" customHeight="1" thickBot="1" x14ac:dyDescent="0.25">
      <c r="B13" s="398">
        <f t="shared" ref="B13:B47" si="0">+B12+1</f>
        <v>3</v>
      </c>
      <c r="C13" s="591" t="s">
        <v>30</v>
      </c>
      <c r="D13" s="591" t="s">
        <v>77</v>
      </c>
      <c r="E13" s="586">
        <v>77.5</v>
      </c>
      <c r="F13" s="587">
        <v>49.02</v>
      </c>
      <c r="G13" s="594">
        <v>75.94</v>
      </c>
      <c r="H13" s="595">
        <v>39.431297000000001</v>
      </c>
      <c r="I13" s="594">
        <v>77.099999999999994</v>
      </c>
      <c r="J13" s="802">
        <v>46.448554999999999</v>
      </c>
      <c r="K13" s="589" t="s">
        <v>30</v>
      </c>
      <c r="L13" s="590">
        <f>IF(J11=0,"Waduk Kosong",)</f>
        <v>0</v>
      </c>
      <c r="M13" s="224"/>
      <c r="N13" s="231">
        <v>7</v>
      </c>
      <c r="O13" s="499">
        <v>561.04999999999995</v>
      </c>
      <c r="P13" s="496">
        <v>739.07</v>
      </c>
      <c r="Q13" s="496">
        <v>1075.489</v>
      </c>
      <c r="R13" s="238">
        <v>1254.81</v>
      </c>
      <c r="S13" s="496">
        <v>1268</v>
      </c>
      <c r="T13" s="496">
        <v>1316.16</v>
      </c>
      <c r="U13" s="238">
        <v>0</v>
      </c>
      <c r="V13" s="238">
        <v>0</v>
      </c>
      <c r="W13" s="238">
        <v>0</v>
      </c>
      <c r="X13" s="238">
        <v>0</v>
      </c>
      <c r="Y13" s="238">
        <v>0</v>
      </c>
      <c r="Z13" s="239">
        <v>0</v>
      </c>
      <c r="AB13" s="665">
        <v>7</v>
      </c>
      <c r="AC13" s="676">
        <v>408.34</v>
      </c>
      <c r="AD13" s="677">
        <v>635.01</v>
      </c>
      <c r="AE13" s="677">
        <v>1074.3900000000001</v>
      </c>
      <c r="AF13" s="677">
        <v>1302.54</v>
      </c>
      <c r="AG13" s="677">
        <v>1325.19</v>
      </c>
      <c r="AH13" s="677">
        <v>0</v>
      </c>
      <c r="AI13" s="677">
        <v>0</v>
      </c>
      <c r="AJ13" s="677">
        <v>0</v>
      </c>
      <c r="AK13" s="677">
        <v>0</v>
      </c>
      <c r="AL13" s="677">
        <v>0</v>
      </c>
      <c r="AM13" s="677">
        <v>0</v>
      </c>
      <c r="AN13" s="678">
        <v>0</v>
      </c>
      <c r="AO13" s="672"/>
      <c r="AP13"/>
      <c r="AQ13"/>
      <c r="AR13"/>
      <c r="AS13"/>
      <c r="AT13"/>
      <c r="AU13"/>
      <c r="AV13"/>
      <c r="AW13"/>
      <c r="AX13"/>
      <c r="AY13"/>
      <c r="AZ13"/>
      <c r="BA13"/>
      <c r="BB13"/>
      <c r="BC13"/>
      <c r="BD13"/>
      <c r="BE13"/>
    </row>
    <row r="14" spans="2:57" ht="27" customHeight="1" thickBot="1" x14ac:dyDescent="0.25">
      <c r="B14" s="398">
        <f t="shared" si="0"/>
        <v>4</v>
      </c>
      <c r="C14" s="591" t="s">
        <v>31</v>
      </c>
      <c r="D14" s="591" t="s">
        <v>78</v>
      </c>
      <c r="E14" s="586">
        <v>463.3</v>
      </c>
      <c r="F14" s="587">
        <v>49.9</v>
      </c>
      <c r="G14" s="596">
        <v>462.85</v>
      </c>
      <c r="H14" s="596">
        <v>44.911000000000001</v>
      </c>
      <c r="I14" s="587">
        <v>463</v>
      </c>
      <c r="J14" s="812">
        <v>48.21</v>
      </c>
      <c r="K14" s="589" t="s">
        <v>197</v>
      </c>
      <c r="L14" s="590">
        <f>IF(J14=0,"Waduk Kosong",)</f>
        <v>0</v>
      </c>
      <c r="M14" s="224"/>
      <c r="N14" s="231">
        <v>8</v>
      </c>
      <c r="O14" s="499">
        <v>559.37</v>
      </c>
      <c r="P14" s="496">
        <v>833.78</v>
      </c>
      <c r="Q14" s="496">
        <v>1085</v>
      </c>
      <c r="R14" s="238">
        <v>1253.69</v>
      </c>
      <c r="S14" s="496">
        <v>1268</v>
      </c>
      <c r="T14" s="496">
        <v>1305.77</v>
      </c>
      <c r="U14" s="238">
        <v>0</v>
      </c>
      <c r="V14" s="238">
        <v>0</v>
      </c>
      <c r="W14" s="238">
        <v>0</v>
      </c>
      <c r="X14" s="238">
        <v>0</v>
      </c>
      <c r="Y14" s="238">
        <v>0</v>
      </c>
      <c r="Z14" s="239">
        <v>0</v>
      </c>
      <c r="AB14" s="665">
        <v>8</v>
      </c>
      <c r="AC14" s="676">
        <v>411.25</v>
      </c>
      <c r="AD14" s="677">
        <v>642.96</v>
      </c>
      <c r="AE14" s="677">
        <v>1107.1300000000001</v>
      </c>
      <c r="AF14" s="677">
        <v>1319.08</v>
      </c>
      <c r="AG14" s="677">
        <v>1333.9</v>
      </c>
      <c r="AH14" s="677">
        <v>0</v>
      </c>
      <c r="AI14" s="677">
        <v>0</v>
      </c>
      <c r="AJ14" s="677">
        <v>0</v>
      </c>
      <c r="AK14" s="677">
        <v>0</v>
      </c>
      <c r="AL14" s="677">
        <v>0</v>
      </c>
      <c r="AM14" s="677">
        <v>0</v>
      </c>
      <c r="AN14" s="678">
        <v>0</v>
      </c>
      <c r="AO14" s="672"/>
      <c r="AP14"/>
      <c r="AQ14"/>
      <c r="AR14"/>
      <c r="AS14"/>
      <c r="AT14"/>
      <c r="AU14"/>
      <c r="AV14"/>
      <c r="AW14"/>
      <c r="AX14"/>
      <c r="AY14"/>
      <c r="AZ14"/>
      <c r="BA14"/>
      <c r="BB14"/>
      <c r="BC14"/>
      <c r="BD14"/>
      <c r="BE14"/>
    </row>
    <row r="15" spans="2:57" ht="27" customHeight="1" thickBot="1" x14ac:dyDescent="0.25">
      <c r="B15" s="398">
        <f t="shared" si="0"/>
        <v>5</v>
      </c>
      <c r="C15" s="591" t="s">
        <v>32</v>
      </c>
      <c r="D15" s="591" t="s">
        <v>79</v>
      </c>
      <c r="E15" s="586">
        <v>207</v>
      </c>
      <c r="F15" s="587">
        <v>9.5030000000000001</v>
      </c>
      <c r="G15" s="654">
        <v>206.18</v>
      </c>
      <c r="H15" s="656">
        <v>8.5259999999999998</v>
      </c>
      <c r="I15" s="792">
        <v>207.01</v>
      </c>
      <c r="J15" s="820">
        <v>9.5169999999999995</v>
      </c>
      <c r="K15" s="589" t="s">
        <v>198</v>
      </c>
      <c r="L15" s="590">
        <f>IF(J15=0,"Waduk Kosong",)</f>
        <v>0</v>
      </c>
      <c r="N15" s="231">
        <v>9</v>
      </c>
      <c r="O15" s="499">
        <v>566.54999999999995</v>
      </c>
      <c r="P15" s="496">
        <v>855.28</v>
      </c>
      <c r="Q15" s="496">
        <v>1095</v>
      </c>
      <c r="R15" s="238">
        <v>1258.6099999999999</v>
      </c>
      <c r="S15" s="496">
        <v>1267.93</v>
      </c>
      <c r="T15" s="496">
        <v>1304.6500000000001</v>
      </c>
      <c r="U15" s="238">
        <v>0</v>
      </c>
      <c r="V15" s="238">
        <v>0</v>
      </c>
      <c r="W15" s="238">
        <v>0</v>
      </c>
      <c r="X15" s="238">
        <v>0</v>
      </c>
      <c r="Y15" s="238">
        <v>0</v>
      </c>
      <c r="Z15" s="239">
        <v>0</v>
      </c>
      <c r="AB15" s="665">
        <v>9</v>
      </c>
      <c r="AC15" s="676">
        <v>446.32</v>
      </c>
      <c r="AD15" s="677">
        <v>644.61</v>
      </c>
      <c r="AE15" s="677">
        <v>1129.31</v>
      </c>
      <c r="AF15" s="677">
        <v>1322.54</v>
      </c>
      <c r="AG15" s="677">
        <v>1329.37</v>
      </c>
      <c r="AH15" s="677">
        <v>0</v>
      </c>
      <c r="AI15" s="677">
        <v>0</v>
      </c>
      <c r="AJ15" s="677">
        <v>0</v>
      </c>
      <c r="AK15" s="677">
        <v>0</v>
      </c>
      <c r="AL15" s="677">
        <v>0</v>
      </c>
      <c r="AM15" s="677">
        <v>0</v>
      </c>
      <c r="AN15" s="678">
        <v>0</v>
      </c>
      <c r="AO15" s="672"/>
      <c r="AP15"/>
      <c r="AQ15"/>
      <c r="AR15"/>
      <c r="AS15"/>
      <c r="AT15"/>
      <c r="AU15"/>
      <c r="AV15"/>
      <c r="AW15"/>
      <c r="AX15"/>
      <c r="AY15"/>
      <c r="AZ15"/>
      <c r="BA15"/>
      <c r="BB15"/>
      <c r="BC15"/>
      <c r="BD15"/>
      <c r="BE15"/>
    </row>
    <row r="16" spans="2:57" ht="27" customHeight="1" thickBot="1" x14ac:dyDescent="0.25">
      <c r="B16" s="398">
        <f t="shared" si="0"/>
        <v>6</v>
      </c>
      <c r="C16" s="591" t="s">
        <v>33</v>
      </c>
      <c r="D16" s="591" t="s">
        <v>79</v>
      </c>
      <c r="E16" s="586">
        <v>320</v>
      </c>
      <c r="F16" s="587">
        <v>5.1509999999999998</v>
      </c>
      <c r="G16" s="654">
        <v>317.60000000000002</v>
      </c>
      <c r="H16" s="655">
        <v>4.6500000000000004</v>
      </c>
      <c r="I16" s="792">
        <v>320</v>
      </c>
      <c r="J16" s="820">
        <v>5.1509999999999998</v>
      </c>
      <c r="K16" s="589" t="s">
        <v>198</v>
      </c>
      <c r="L16" s="590">
        <f t="shared" ref="L16:L25" si="1">IF(J16=0,"Waduk Kosong",)</f>
        <v>0</v>
      </c>
      <c r="N16" s="231">
        <v>10</v>
      </c>
      <c r="O16" s="499">
        <v>570.04</v>
      </c>
      <c r="P16" s="496">
        <v>859.47</v>
      </c>
      <c r="Q16" s="496">
        <v>1105</v>
      </c>
      <c r="R16" s="238">
        <v>1262.04</v>
      </c>
      <c r="S16" s="496">
        <v>1265.22</v>
      </c>
      <c r="T16" s="496">
        <v>1309.69</v>
      </c>
      <c r="U16" s="238">
        <v>0</v>
      </c>
      <c r="V16" s="238">
        <v>0</v>
      </c>
      <c r="W16" s="238">
        <v>0</v>
      </c>
      <c r="X16" s="238">
        <v>0</v>
      </c>
      <c r="Y16" s="238">
        <v>0</v>
      </c>
      <c r="Z16" s="239">
        <v>0</v>
      </c>
      <c r="AB16" s="665">
        <v>10</v>
      </c>
      <c r="AC16" s="676">
        <v>457.01</v>
      </c>
      <c r="AD16" s="677">
        <v>646.84</v>
      </c>
      <c r="AE16" s="677">
        <v>1158.6400000000001</v>
      </c>
      <c r="AF16" s="677">
        <v>1330.44</v>
      </c>
      <c r="AG16" s="677">
        <v>1338.35</v>
      </c>
      <c r="AH16" s="677">
        <v>0</v>
      </c>
      <c r="AI16" s="677">
        <v>0</v>
      </c>
      <c r="AJ16" s="677">
        <v>0</v>
      </c>
      <c r="AK16" s="677">
        <v>0</v>
      </c>
      <c r="AL16" s="677">
        <v>0</v>
      </c>
      <c r="AM16" s="677">
        <v>0</v>
      </c>
      <c r="AN16" s="678">
        <v>0</v>
      </c>
      <c r="AO16" s="672"/>
      <c r="AP16"/>
      <c r="AQ16"/>
      <c r="AR16"/>
      <c r="AS16"/>
      <c r="AT16"/>
      <c r="AU16"/>
      <c r="AV16"/>
      <c r="AW16"/>
      <c r="AX16"/>
      <c r="AY16"/>
      <c r="AZ16"/>
      <c r="BA16"/>
      <c r="BB16"/>
      <c r="BC16"/>
      <c r="BD16"/>
      <c r="BE16"/>
    </row>
    <row r="17" spans="2:57" ht="27" customHeight="1" thickBot="1" x14ac:dyDescent="0.25">
      <c r="B17" s="398">
        <f t="shared" si="0"/>
        <v>7</v>
      </c>
      <c r="C17" s="591" t="s">
        <v>34</v>
      </c>
      <c r="D17" s="591" t="s">
        <v>80</v>
      </c>
      <c r="E17" s="586">
        <v>90</v>
      </c>
      <c r="F17" s="587">
        <v>689.09100000000001</v>
      </c>
      <c r="G17" s="654">
        <v>88.24</v>
      </c>
      <c r="H17" s="655">
        <v>601.56600000000003</v>
      </c>
      <c r="I17" s="792">
        <v>85.03</v>
      </c>
      <c r="J17" s="820">
        <v>461.88152977056512</v>
      </c>
      <c r="K17" s="589" t="s">
        <v>199</v>
      </c>
      <c r="L17" s="590">
        <f t="shared" si="1"/>
        <v>0</v>
      </c>
      <c r="N17" s="231">
        <v>11</v>
      </c>
      <c r="O17" s="499">
        <v>574.88</v>
      </c>
      <c r="P17" s="496">
        <v>880.74</v>
      </c>
      <c r="Q17" s="496">
        <v>1108</v>
      </c>
      <c r="R17" s="238">
        <v>1267.72</v>
      </c>
      <c r="S17" s="496">
        <v>1264.0999999999999</v>
      </c>
      <c r="T17" s="496">
        <v>1313.39</v>
      </c>
      <c r="U17" s="238">
        <v>0</v>
      </c>
      <c r="V17" s="238">
        <v>0</v>
      </c>
      <c r="W17" s="238">
        <v>0</v>
      </c>
      <c r="X17" s="238">
        <v>0</v>
      </c>
      <c r="Y17" s="238">
        <v>0</v>
      </c>
      <c r="Z17" s="239">
        <v>0</v>
      </c>
      <c r="AB17" s="666">
        <v>11</v>
      </c>
      <c r="AC17" s="676">
        <v>467.11</v>
      </c>
      <c r="AD17" s="677">
        <v>649.76</v>
      </c>
      <c r="AE17" s="677">
        <v>1170.1500000000001</v>
      </c>
      <c r="AF17" s="677">
        <v>1342.59</v>
      </c>
      <c r="AG17" s="677">
        <v>1346.29</v>
      </c>
      <c r="AH17" s="677">
        <v>0</v>
      </c>
      <c r="AI17" s="677">
        <v>0</v>
      </c>
      <c r="AJ17" s="677">
        <v>0</v>
      </c>
      <c r="AK17" s="677">
        <v>0</v>
      </c>
      <c r="AL17" s="677">
        <v>0</v>
      </c>
      <c r="AM17" s="677">
        <v>0</v>
      </c>
      <c r="AN17" s="678">
        <v>0</v>
      </c>
      <c r="AO17" s="672"/>
      <c r="AP17" s="363"/>
      <c r="AQ17"/>
      <c r="AR17"/>
      <c r="AS17"/>
      <c r="AT17"/>
      <c r="AU17"/>
      <c r="AV17"/>
      <c r="AW17"/>
      <c r="AX17"/>
      <c r="AY17"/>
      <c r="AZ17"/>
      <c r="BA17"/>
      <c r="BB17"/>
      <c r="BC17"/>
      <c r="BD17"/>
      <c r="BE17"/>
    </row>
    <row r="18" spans="2:57" ht="26.25" customHeight="1" thickBot="1" x14ac:dyDescent="0.25">
      <c r="B18" s="398">
        <f t="shared" si="0"/>
        <v>8</v>
      </c>
      <c r="C18" s="591" t="s">
        <v>35</v>
      </c>
      <c r="D18" s="591" t="s">
        <v>81</v>
      </c>
      <c r="E18" s="586">
        <v>120.5</v>
      </c>
      <c r="F18" s="587">
        <v>2.0920000000000001</v>
      </c>
      <c r="G18" s="654">
        <v>118.22</v>
      </c>
      <c r="H18" s="655">
        <v>1.153</v>
      </c>
      <c r="I18" s="597">
        <v>119.26</v>
      </c>
      <c r="J18" s="821">
        <v>1.276</v>
      </c>
      <c r="K18" s="589" t="s">
        <v>200</v>
      </c>
      <c r="L18" s="590">
        <f>IF(J18=0,"Waduk Kosong",)</f>
        <v>0</v>
      </c>
      <c r="M18" s="355"/>
      <c r="N18" s="231">
        <v>12</v>
      </c>
      <c r="O18" s="499">
        <v>577.91</v>
      </c>
      <c r="P18" s="496">
        <v>907.96</v>
      </c>
      <c r="Q18" s="496">
        <v>1114</v>
      </c>
      <c r="R18" s="238">
        <v>1284.04</v>
      </c>
      <c r="S18" s="496">
        <v>1263.57</v>
      </c>
      <c r="T18" s="496">
        <v>1315.08</v>
      </c>
      <c r="U18" s="238">
        <v>0</v>
      </c>
      <c r="V18" s="238">
        <v>0</v>
      </c>
      <c r="W18" s="238">
        <v>0</v>
      </c>
      <c r="X18" s="238">
        <v>0</v>
      </c>
      <c r="Y18" s="238">
        <v>0</v>
      </c>
      <c r="Z18" s="239">
        <v>0</v>
      </c>
      <c r="AB18" s="665">
        <v>12</v>
      </c>
      <c r="AC18" s="676">
        <v>482.85</v>
      </c>
      <c r="AD18" s="677">
        <v>650.83000000000004</v>
      </c>
      <c r="AE18" s="677">
        <v>1178.8399999999999</v>
      </c>
      <c r="AF18" s="677">
        <v>1336.47</v>
      </c>
      <c r="AG18" s="677">
        <v>0</v>
      </c>
      <c r="AH18" s="677">
        <v>0</v>
      </c>
      <c r="AI18" s="677">
        <v>0</v>
      </c>
      <c r="AJ18" s="677">
        <v>0</v>
      </c>
      <c r="AK18" s="677">
        <v>0</v>
      </c>
      <c r="AL18" s="677">
        <v>0</v>
      </c>
      <c r="AM18" s="677">
        <v>0</v>
      </c>
      <c r="AN18" s="678">
        <v>0</v>
      </c>
      <c r="AO18" s="672"/>
      <c r="AP18" s="363"/>
      <c r="AQ18"/>
      <c r="AR18"/>
      <c r="AS18"/>
      <c r="AT18"/>
      <c r="AU18"/>
      <c r="AV18"/>
      <c r="AW18"/>
      <c r="AX18"/>
      <c r="AY18"/>
      <c r="AZ18"/>
      <c r="BA18"/>
      <c r="BB18"/>
      <c r="BC18"/>
      <c r="BD18"/>
      <c r="BE18"/>
    </row>
    <row r="19" spans="2:57" ht="27" customHeight="1" thickBot="1" x14ac:dyDescent="0.25">
      <c r="B19" s="398">
        <f t="shared" si="0"/>
        <v>9</v>
      </c>
      <c r="C19" s="591" t="s">
        <v>36</v>
      </c>
      <c r="D19" s="591" t="s">
        <v>81</v>
      </c>
      <c r="E19" s="586">
        <v>120.8</v>
      </c>
      <c r="F19" s="587">
        <v>2.3530000000000002</v>
      </c>
      <c r="G19" s="654">
        <v>118.49</v>
      </c>
      <c r="H19" s="657">
        <v>1.177</v>
      </c>
      <c r="I19" s="792">
        <v>117.84</v>
      </c>
      <c r="J19" s="820">
        <v>0.66500000000000004</v>
      </c>
      <c r="K19" s="589" t="s">
        <v>200</v>
      </c>
      <c r="L19" s="590">
        <f t="shared" si="1"/>
        <v>0</v>
      </c>
      <c r="M19" s="355"/>
      <c r="N19" s="231">
        <v>13</v>
      </c>
      <c r="O19" s="499">
        <v>582.61</v>
      </c>
      <c r="P19" s="496">
        <v>922.6</v>
      </c>
      <c r="Q19" s="496">
        <v>1123</v>
      </c>
      <c r="R19" s="238">
        <v>1284.04</v>
      </c>
      <c r="S19" s="496">
        <v>1262.28</v>
      </c>
      <c r="T19" s="496">
        <v>1314</v>
      </c>
      <c r="U19" s="238">
        <v>0</v>
      </c>
      <c r="V19" s="238">
        <v>0</v>
      </c>
      <c r="W19" s="238">
        <v>0</v>
      </c>
      <c r="X19" s="238">
        <v>0</v>
      </c>
      <c r="Y19" s="238">
        <v>0</v>
      </c>
      <c r="Z19" s="239">
        <v>0</v>
      </c>
      <c r="AB19" s="665">
        <v>13</v>
      </c>
      <c r="AC19" s="676">
        <v>493.13</v>
      </c>
      <c r="AD19" s="677">
        <v>640.70000000000005</v>
      </c>
      <c r="AE19" s="677">
        <v>1173.79</v>
      </c>
      <c r="AF19" s="677">
        <v>1334.88</v>
      </c>
      <c r="AG19" s="677">
        <v>0</v>
      </c>
      <c r="AH19" s="677">
        <v>0</v>
      </c>
      <c r="AI19" s="677">
        <v>0</v>
      </c>
      <c r="AJ19" s="677">
        <v>0</v>
      </c>
      <c r="AK19" s="677">
        <v>0</v>
      </c>
      <c r="AL19" s="677">
        <v>0</v>
      </c>
      <c r="AM19" s="677">
        <v>0</v>
      </c>
      <c r="AN19" s="678">
        <v>0</v>
      </c>
      <c r="AO19" s="672"/>
      <c r="AP19" s="363"/>
      <c r="AQ19"/>
      <c r="AR19"/>
      <c r="AS19"/>
      <c r="AT19"/>
      <c r="AU19"/>
      <c r="AV19"/>
      <c r="AW19"/>
      <c r="AX19"/>
      <c r="AY19"/>
      <c r="AZ19"/>
      <c r="BA19"/>
      <c r="BB19"/>
      <c r="BC19"/>
      <c r="BD19"/>
      <c r="BE19"/>
    </row>
    <row r="20" spans="2:57" ht="25.5" customHeight="1" thickBot="1" x14ac:dyDescent="0.25">
      <c r="B20" s="398">
        <f t="shared" si="0"/>
        <v>10</v>
      </c>
      <c r="C20" s="591" t="s">
        <v>37</v>
      </c>
      <c r="D20" s="591" t="s">
        <v>82</v>
      </c>
      <c r="E20" s="586">
        <v>46.5</v>
      </c>
      <c r="F20" s="586">
        <v>4.5999999999999996</v>
      </c>
      <c r="G20" s="654">
        <v>42.64</v>
      </c>
      <c r="H20" s="655">
        <v>1.5349999999999999</v>
      </c>
      <c r="I20" s="792">
        <v>40.869999999999997</v>
      </c>
      <c r="J20" s="820">
        <v>0.79100000000000004</v>
      </c>
      <c r="K20" s="589" t="s">
        <v>201</v>
      </c>
      <c r="L20" s="590">
        <f t="shared" si="1"/>
        <v>0</v>
      </c>
      <c r="M20" s="355"/>
      <c r="N20" s="231">
        <v>14</v>
      </c>
      <c r="O20" s="499">
        <v>589.73</v>
      </c>
      <c r="P20" s="496">
        <v>922.26</v>
      </c>
      <c r="Q20" s="496">
        <v>1129</v>
      </c>
      <c r="R20" s="238">
        <v>1288.8499999999999</v>
      </c>
      <c r="S20" s="496">
        <v>1259.4000000000001</v>
      </c>
      <c r="T20" s="496">
        <v>1311.49</v>
      </c>
      <c r="U20" s="238">
        <v>0</v>
      </c>
      <c r="V20" s="238">
        <v>0</v>
      </c>
      <c r="W20" s="238">
        <v>0</v>
      </c>
      <c r="X20" s="238">
        <v>0</v>
      </c>
      <c r="Y20" s="238">
        <v>0</v>
      </c>
      <c r="Z20" s="239">
        <v>0</v>
      </c>
      <c r="AB20" s="665">
        <v>14</v>
      </c>
      <c r="AC20" s="676">
        <v>493.92</v>
      </c>
      <c r="AD20" s="677">
        <v>651.95000000000005</v>
      </c>
      <c r="AE20" s="677">
        <v>1172.98</v>
      </c>
      <c r="AF20" s="677">
        <v>1344.69</v>
      </c>
      <c r="AG20" s="677">
        <v>0</v>
      </c>
      <c r="AH20" s="677">
        <v>0</v>
      </c>
      <c r="AI20" s="677">
        <v>0</v>
      </c>
      <c r="AJ20" s="677">
        <v>0</v>
      </c>
      <c r="AK20" s="677">
        <v>0</v>
      </c>
      <c r="AL20" s="677">
        <v>0</v>
      </c>
      <c r="AM20" s="677">
        <v>0</v>
      </c>
      <c r="AN20" s="678">
        <v>0</v>
      </c>
      <c r="AO20" s="672"/>
      <c r="AP20" s="363"/>
      <c r="AQ20"/>
      <c r="AR20"/>
      <c r="AS20"/>
      <c r="AT20"/>
      <c r="AU20"/>
      <c r="AV20"/>
      <c r="AW20"/>
      <c r="AX20"/>
      <c r="AY20"/>
      <c r="AZ20"/>
      <c r="BA20"/>
      <c r="BB20"/>
      <c r="BC20"/>
      <c r="BD20"/>
      <c r="BE20"/>
    </row>
    <row r="21" spans="2:57" ht="27" customHeight="1" thickBot="1" x14ac:dyDescent="0.25">
      <c r="B21" s="398">
        <f t="shared" si="0"/>
        <v>11</v>
      </c>
      <c r="C21" s="591" t="s">
        <v>39</v>
      </c>
      <c r="D21" s="591" t="s">
        <v>82</v>
      </c>
      <c r="E21" s="586">
        <v>51.5</v>
      </c>
      <c r="F21" s="587">
        <v>2.4159999999999999</v>
      </c>
      <c r="G21" s="654">
        <v>48.26</v>
      </c>
      <c r="H21" s="655">
        <v>1.3240000000000001</v>
      </c>
      <c r="I21" s="793">
        <v>51.43</v>
      </c>
      <c r="J21" s="820">
        <v>2.548</v>
      </c>
      <c r="K21" s="589" t="s">
        <v>202</v>
      </c>
      <c r="L21" s="590">
        <f t="shared" si="1"/>
        <v>0</v>
      </c>
      <c r="M21" s="355"/>
      <c r="N21" s="231">
        <v>15</v>
      </c>
      <c r="O21" s="499">
        <v>592.79999999999995</v>
      </c>
      <c r="P21" s="496">
        <v>914.08</v>
      </c>
      <c r="Q21" s="496">
        <v>1152.94</v>
      </c>
      <c r="R21" s="238">
        <v>1289.8499999999999</v>
      </c>
      <c r="S21" s="496">
        <v>1260.8599999999999</v>
      </c>
      <c r="T21" s="496">
        <v>1317</v>
      </c>
      <c r="U21" s="238">
        <v>0</v>
      </c>
      <c r="V21" s="238">
        <v>0</v>
      </c>
      <c r="W21" s="238">
        <v>0</v>
      </c>
      <c r="X21" s="238">
        <v>0</v>
      </c>
      <c r="Y21" s="238">
        <v>0</v>
      </c>
      <c r="Z21" s="239">
        <v>0</v>
      </c>
      <c r="AB21" s="665">
        <v>15</v>
      </c>
      <c r="AC21" s="676">
        <v>499.69</v>
      </c>
      <c r="AD21" s="677">
        <v>664.97</v>
      </c>
      <c r="AE21" s="677">
        <v>1174.8399999999999</v>
      </c>
      <c r="AF21" s="677">
        <v>1344.36</v>
      </c>
      <c r="AG21" s="677">
        <v>0</v>
      </c>
      <c r="AH21" s="677">
        <v>0</v>
      </c>
      <c r="AI21" s="677">
        <v>0</v>
      </c>
      <c r="AJ21" s="677">
        <v>0</v>
      </c>
      <c r="AK21" s="677">
        <v>0</v>
      </c>
      <c r="AL21" s="677">
        <v>0</v>
      </c>
      <c r="AM21" s="677">
        <v>0</v>
      </c>
      <c r="AN21" s="678">
        <v>0</v>
      </c>
      <c r="AO21" s="672"/>
      <c r="AP21" s="363"/>
      <c r="AQ21"/>
      <c r="AR21"/>
      <c r="AS21"/>
      <c r="AT21"/>
      <c r="AU21"/>
      <c r="AV21"/>
      <c r="AW21"/>
      <c r="AX21"/>
      <c r="AY21"/>
      <c r="AZ21"/>
      <c r="BA21"/>
      <c r="BB21"/>
      <c r="BC21"/>
      <c r="BD21"/>
      <c r="BE21"/>
    </row>
    <row r="22" spans="2:57" ht="27" customHeight="1" thickBot="1" x14ac:dyDescent="0.35">
      <c r="B22" s="398">
        <f t="shared" si="0"/>
        <v>12</v>
      </c>
      <c r="C22" s="591" t="s">
        <v>40</v>
      </c>
      <c r="D22" s="591" t="s">
        <v>80</v>
      </c>
      <c r="E22" s="586">
        <v>81</v>
      </c>
      <c r="F22" s="598">
        <v>1.093</v>
      </c>
      <c r="G22" s="781">
        <v>78.45</v>
      </c>
      <c r="H22" s="655">
        <v>0.68</v>
      </c>
      <c r="I22" s="792">
        <v>74.94</v>
      </c>
      <c r="J22" s="820">
        <v>0.30599999999999999</v>
      </c>
      <c r="K22" s="589" t="s">
        <v>200</v>
      </c>
      <c r="L22" s="590">
        <f t="shared" si="1"/>
        <v>0</v>
      </c>
      <c r="M22" s="355"/>
      <c r="N22" s="231">
        <v>16</v>
      </c>
      <c r="O22" s="499">
        <v>589.69000000000005</v>
      </c>
      <c r="P22" s="496">
        <v>922.32</v>
      </c>
      <c r="Q22" s="496">
        <v>1153</v>
      </c>
      <c r="R22" s="238">
        <v>1285.05</v>
      </c>
      <c r="S22" s="496">
        <v>1260.9100000000001</v>
      </c>
      <c r="T22" s="496">
        <v>1315.51</v>
      </c>
      <c r="U22" s="238">
        <v>0</v>
      </c>
      <c r="V22" s="238">
        <v>0</v>
      </c>
      <c r="W22" s="238">
        <v>0</v>
      </c>
      <c r="X22" s="238">
        <v>0</v>
      </c>
      <c r="Y22" s="238">
        <v>0</v>
      </c>
      <c r="Z22" s="239">
        <v>0</v>
      </c>
      <c r="AB22" s="666">
        <v>16</v>
      </c>
      <c r="AC22" s="676">
        <v>509.53</v>
      </c>
      <c r="AD22" s="677">
        <v>680.15</v>
      </c>
      <c r="AE22" s="677">
        <v>1173.98</v>
      </c>
      <c r="AF22" s="677">
        <v>1341.98</v>
      </c>
      <c r="AG22" s="677">
        <v>0</v>
      </c>
      <c r="AH22" s="677">
        <v>0</v>
      </c>
      <c r="AI22" s="677">
        <v>0</v>
      </c>
      <c r="AJ22" s="677">
        <v>0</v>
      </c>
      <c r="AK22" s="677">
        <v>0</v>
      </c>
      <c r="AL22" s="677">
        <v>0</v>
      </c>
      <c r="AM22" s="677">
        <v>0</v>
      </c>
      <c r="AN22" s="678">
        <v>0</v>
      </c>
      <c r="AO22" s="672"/>
      <c r="AP22" s="363"/>
      <c r="AQ22"/>
      <c r="AR22"/>
      <c r="AS22"/>
      <c r="AT22"/>
      <c r="AU22"/>
      <c r="AV22"/>
      <c r="AW22"/>
      <c r="AX22"/>
      <c r="AY22"/>
      <c r="AZ22"/>
      <c r="BA22"/>
      <c r="BB22"/>
      <c r="BC22"/>
      <c r="BD22"/>
      <c r="BE22"/>
    </row>
    <row r="23" spans="2:57" ht="75" customHeight="1" thickBot="1" x14ac:dyDescent="0.25">
      <c r="B23" s="398">
        <f t="shared" si="0"/>
        <v>13</v>
      </c>
      <c r="C23" s="591" t="s">
        <v>41</v>
      </c>
      <c r="D23" s="591" t="s">
        <v>80</v>
      </c>
      <c r="E23" s="586">
        <v>82.8</v>
      </c>
      <c r="F23" s="587">
        <v>0.42899999999999999</v>
      </c>
      <c r="G23" s="654">
        <v>81.739999999999995</v>
      </c>
      <c r="H23" s="655">
        <v>0.27400000000000002</v>
      </c>
      <c r="I23" s="792">
        <v>78</v>
      </c>
      <c r="J23" s="820">
        <v>0</v>
      </c>
      <c r="K23" s="589" t="s">
        <v>200</v>
      </c>
      <c r="L23" s="788" t="s">
        <v>309</v>
      </c>
      <c r="N23" s="231">
        <v>17</v>
      </c>
      <c r="O23" s="499">
        <v>588.45000000000005</v>
      </c>
      <c r="P23" s="496">
        <v>930.6</v>
      </c>
      <c r="Q23" s="496">
        <v>1151.46</v>
      </c>
      <c r="R23" s="238">
        <v>1289.9000000000001</v>
      </c>
      <c r="S23" s="496">
        <v>1253</v>
      </c>
      <c r="T23" s="496">
        <v>1319.69</v>
      </c>
      <c r="U23" s="238">
        <v>0</v>
      </c>
      <c r="V23" s="238">
        <v>0</v>
      </c>
      <c r="W23" s="238">
        <v>0</v>
      </c>
      <c r="X23" s="238">
        <v>0</v>
      </c>
      <c r="Y23" s="238">
        <v>0</v>
      </c>
      <c r="Z23" s="239">
        <v>0</v>
      </c>
      <c r="AB23" s="665">
        <v>17</v>
      </c>
      <c r="AC23" s="676">
        <v>517.61</v>
      </c>
      <c r="AD23" s="677">
        <v>700.34</v>
      </c>
      <c r="AE23" s="677">
        <v>1177</v>
      </c>
      <c r="AF23" s="677">
        <v>1336.75</v>
      </c>
      <c r="AG23" s="677">
        <v>0</v>
      </c>
      <c r="AH23" s="677">
        <v>0</v>
      </c>
      <c r="AI23" s="677">
        <v>0</v>
      </c>
      <c r="AJ23" s="677">
        <v>0</v>
      </c>
      <c r="AK23" s="677">
        <v>0</v>
      </c>
      <c r="AL23" s="677">
        <v>0</v>
      </c>
      <c r="AM23" s="677">
        <v>0</v>
      </c>
      <c r="AN23" s="678">
        <v>0</v>
      </c>
      <c r="AO23" s="672"/>
      <c r="AP23" s="363"/>
      <c r="AQ23"/>
      <c r="AR23"/>
      <c r="AS23"/>
      <c r="AT23"/>
      <c r="AU23"/>
      <c r="AV23"/>
      <c r="AW23"/>
      <c r="AX23"/>
      <c r="AY23"/>
      <c r="AZ23"/>
      <c r="BA23"/>
      <c r="BB23"/>
      <c r="BC23"/>
      <c r="BD23"/>
      <c r="BE23"/>
    </row>
    <row r="24" spans="2:57" ht="28.5" customHeight="1" thickBot="1" x14ac:dyDescent="0.25">
      <c r="B24" s="398">
        <f t="shared" si="0"/>
        <v>14</v>
      </c>
      <c r="C24" s="591" t="s">
        <v>42</v>
      </c>
      <c r="D24" s="591" t="s">
        <v>80</v>
      </c>
      <c r="E24" s="586">
        <v>69.95</v>
      </c>
      <c r="F24" s="587">
        <v>0.25</v>
      </c>
      <c r="G24" s="654">
        <v>69.34</v>
      </c>
      <c r="H24" s="655">
        <v>0.16900000000000001</v>
      </c>
      <c r="I24" s="792">
        <v>62.86</v>
      </c>
      <c r="J24" s="820">
        <v>0.13100000000000001</v>
      </c>
      <c r="K24" s="589" t="s">
        <v>200</v>
      </c>
      <c r="L24" s="590">
        <f t="shared" si="1"/>
        <v>0</v>
      </c>
      <c r="N24" s="231">
        <v>18</v>
      </c>
      <c r="O24" s="499">
        <v>587.64</v>
      </c>
      <c r="P24" s="496">
        <v>936</v>
      </c>
      <c r="Q24" s="496">
        <v>1131.28</v>
      </c>
      <c r="R24" s="238">
        <v>1295.56</v>
      </c>
      <c r="S24" s="496">
        <v>1255</v>
      </c>
      <c r="T24" s="496">
        <v>1347.06</v>
      </c>
      <c r="U24" s="238">
        <v>0</v>
      </c>
      <c r="V24" s="238">
        <v>0</v>
      </c>
      <c r="W24" s="238">
        <v>0</v>
      </c>
      <c r="X24" s="238">
        <v>0</v>
      </c>
      <c r="Y24" s="238">
        <v>0</v>
      </c>
      <c r="Z24" s="239">
        <v>0</v>
      </c>
      <c r="AB24" s="665">
        <v>18</v>
      </c>
      <c r="AC24" s="676">
        <v>530.19000000000005</v>
      </c>
      <c r="AD24" s="677">
        <v>713.12</v>
      </c>
      <c r="AE24" s="677">
        <v>1183.57</v>
      </c>
      <c r="AF24" s="677">
        <v>1343.62</v>
      </c>
      <c r="AG24" s="677">
        <v>0</v>
      </c>
      <c r="AH24" s="677">
        <v>0</v>
      </c>
      <c r="AI24" s="677">
        <v>0</v>
      </c>
      <c r="AJ24" s="677">
        <v>0</v>
      </c>
      <c r="AK24" s="677">
        <v>0</v>
      </c>
      <c r="AL24" s="677">
        <v>0</v>
      </c>
      <c r="AM24" s="677">
        <v>0</v>
      </c>
      <c r="AN24" s="678">
        <v>0</v>
      </c>
      <c r="AO24" s="672"/>
      <c r="AP24" s="363"/>
      <c r="AQ24"/>
      <c r="AR24"/>
      <c r="AS24"/>
      <c r="AT24"/>
      <c r="AU24"/>
      <c r="AV24"/>
      <c r="AW24"/>
      <c r="AX24"/>
      <c r="AY24"/>
      <c r="AZ24"/>
      <c r="BA24"/>
      <c r="BB24"/>
      <c r="BC24"/>
      <c r="BD24"/>
      <c r="BE24"/>
    </row>
    <row r="25" spans="2:57" ht="27" customHeight="1" thickBot="1" x14ac:dyDescent="0.25">
      <c r="B25" s="398">
        <f t="shared" si="0"/>
        <v>15</v>
      </c>
      <c r="C25" s="591" t="s">
        <v>43</v>
      </c>
      <c r="D25" s="591" t="s">
        <v>80</v>
      </c>
      <c r="E25" s="586">
        <v>48.2</v>
      </c>
      <c r="F25" s="587">
        <v>0.38500000000000001</v>
      </c>
      <c r="G25" s="654">
        <v>46.46</v>
      </c>
      <c r="H25" s="655">
        <v>0.21299999999999999</v>
      </c>
      <c r="I25" s="792">
        <v>46.88</v>
      </c>
      <c r="J25" s="820">
        <v>0.378</v>
      </c>
      <c r="K25" s="589" t="s">
        <v>200</v>
      </c>
      <c r="L25" s="590">
        <f t="shared" si="1"/>
        <v>0</v>
      </c>
      <c r="N25" s="231">
        <v>19</v>
      </c>
      <c r="O25" s="499">
        <v>606</v>
      </c>
      <c r="P25" s="496">
        <v>936.81</v>
      </c>
      <c r="Q25" s="496">
        <v>1125.47</v>
      </c>
      <c r="R25" s="238">
        <v>1295.17</v>
      </c>
      <c r="S25" s="496">
        <v>1256</v>
      </c>
      <c r="T25" s="496">
        <v>1343.11</v>
      </c>
      <c r="U25" s="238">
        <v>0</v>
      </c>
      <c r="V25" s="238">
        <v>0</v>
      </c>
      <c r="W25" s="238">
        <v>0</v>
      </c>
      <c r="X25" s="238">
        <v>0</v>
      </c>
      <c r="Y25" s="238">
        <v>0</v>
      </c>
      <c r="Z25" s="239">
        <v>0</v>
      </c>
      <c r="AB25" s="665">
        <v>19</v>
      </c>
      <c r="AC25" s="676">
        <v>534.07000000000005</v>
      </c>
      <c r="AD25" s="677">
        <v>724.12</v>
      </c>
      <c r="AE25" s="677">
        <v>1192.02</v>
      </c>
      <c r="AF25" s="677">
        <v>1338.36</v>
      </c>
      <c r="AG25" s="677">
        <v>0</v>
      </c>
      <c r="AH25" s="677">
        <v>0</v>
      </c>
      <c r="AI25" s="677">
        <v>0</v>
      </c>
      <c r="AJ25" s="677">
        <v>0</v>
      </c>
      <c r="AK25" s="677">
        <v>0</v>
      </c>
      <c r="AL25" s="677">
        <v>0</v>
      </c>
      <c r="AM25" s="677">
        <v>0</v>
      </c>
      <c r="AN25" s="678">
        <v>0</v>
      </c>
      <c r="AO25" s="672"/>
      <c r="AP25" s="363"/>
      <c r="AQ25"/>
      <c r="AR25"/>
      <c r="AS25"/>
      <c r="AT25"/>
      <c r="AU25"/>
      <c r="AV25"/>
      <c r="AW25"/>
      <c r="AX25"/>
      <c r="AY25"/>
      <c r="AZ25"/>
      <c r="BA25"/>
      <c r="BB25"/>
      <c r="BC25"/>
      <c r="BD25"/>
      <c r="BE25"/>
    </row>
    <row r="26" spans="2:57" ht="27" customHeight="1" thickBot="1" x14ac:dyDescent="0.25">
      <c r="B26" s="398">
        <f t="shared" si="0"/>
        <v>16</v>
      </c>
      <c r="C26" s="591" t="s">
        <v>83</v>
      </c>
      <c r="D26" s="591" t="s">
        <v>44</v>
      </c>
      <c r="E26" s="586">
        <v>136</v>
      </c>
      <c r="F26" s="587">
        <v>440</v>
      </c>
      <c r="G26" s="596">
        <v>138.78</v>
      </c>
      <c r="H26" s="596">
        <v>354.25700000000001</v>
      </c>
      <c r="I26" s="594">
        <v>135.88999999999999</v>
      </c>
      <c r="J26" s="803">
        <v>360.19709461399998</v>
      </c>
      <c r="K26" s="589" t="s">
        <v>203</v>
      </c>
      <c r="L26" s="590">
        <f>IF(J26=0,"Waduk Kosong",)</f>
        <v>0</v>
      </c>
      <c r="M26" s="224"/>
      <c r="N26" s="231">
        <v>20</v>
      </c>
      <c r="O26" s="499">
        <v>613.32000000000005</v>
      </c>
      <c r="P26" s="496">
        <v>933.25</v>
      </c>
      <c r="Q26" s="496">
        <v>1129.57</v>
      </c>
      <c r="R26" s="238">
        <v>1294.42</v>
      </c>
      <c r="S26" s="496">
        <v>1252</v>
      </c>
      <c r="T26" s="496">
        <v>1342.39</v>
      </c>
      <c r="U26" s="238">
        <v>0</v>
      </c>
      <c r="V26" s="238">
        <v>0</v>
      </c>
      <c r="W26" s="238">
        <v>0</v>
      </c>
      <c r="X26" s="238">
        <v>0</v>
      </c>
      <c r="Y26" s="238">
        <v>0</v>
      </c>
      <c r="Z26" s="239">
        <v>0</v>
      </c>
      <c r="AB26" s="665">
        <v>20</v>
      </c>
      <c r="AC26" s="676">
        <v>532.52</v>
      </c>
      <c r="AD26" s="677">
        <v>742.39</v>
      </c>
      <c r="AE26" s="677">
        <v>1217.23</v>
      </c>
      <c r="AF26" s="677">
        <v>1337.14</v>
      </c>
      <c r="AG26" s="677">
        <v>0</v>
      </c>
      <c r="AH26" s="677">
        <v>0</v>
      </c>
      <c r="AI26" s="677">
        <v>0</v>
      </c>
      <c r="AJ26" s="677">
        <v>0</v>
      </c>
      <c r="AK26" s="677">
        <v>0</v>
      </c>
      <c r="AL26" s="677">
        <v>0</v>
      </c>
      <c r="AM26" s="677">
        <v>0</v>
      </c>
      <c r="AN26" s="678">
        <v>0</v>
      </c>
      <c r="AO26" s="672"/>
      <c r="AP26" s="363"/>
      <c r="AQ26"/>
      <c r="AR26"/>
      <c r="AS26"/>
      <c r="AT26"/>
      <c r="AU26"/>
      <c r="AV26"/>
      <c r="AW26"/>
      <c r="AX26"/>
      <c r="AY26"/>
      <c r="AZ26"/>
      <c r="BA26"/>
      <c r="BB26"/>
      <c r="BC26"/>
      <c r="BD26"/>
      <c r="BE26"/>
    </row>
    <row r="27" spans="2:57" ht="27" customHeight="1" thickBot="1" x14ac:dyDescent="0.25">
      <c r="B27" s="398">
        <f t="shared" si="0"/>
        <v>17</v>
      </c>
      <c r="C27" s="591" t="s">
        <v>45</v>
      </c>
      <c r="D27" s="591" t="s">
        <v>44</v>
      </c>
      <c r="E27" s="586">
        <v>113.5</v>
      </c>
      <c r="F27" s="587">
        <v>3.7519999999999998</v>
      </c>
      <c r="G27" s="596">
        <v>110.7</v>
      </c>
      <c r="H27" s="596">
        <v>0.33200000000000002</v>
      </c>
      <c r="I27" s="599">
        <v>112.37</v>
      </c>
      <c r="J27" s="803">
        <v>0.40745182000000002</v>
      </c>
      <c r="K27" s="589" t="s">
        <v>203</v>
      </c>
      <c r="L27" s="590">
        <f>IF(J27=0,"Waduk Kosong",)</f>
        <v>0</v>
      </c>
      <c r="M27" s="224"/>
      <c r="N27" s="231">
        <v>21</v>
      </c>
      <c r="O27" s="499">
        <v>628.14</v>
      </c>
      <c r="P27" s="496">
        <v>938.68</v>
      </c>
      <c r="Q27" s="496">
        <v>1131.45</v>
      </c>
      <c r="R27" s="238">
        <v>1297.1400000000001</v>
      </c>
      <c r="S27" s="496">
        <v>1259</v>
      </c>
      <c r="T27" s="496">
        <v>0</v>
      </c>
      <c r="U27" s="238">
        <v>0</v>
      </c>
      <c r="V27" s="238">
        <v>0</v>
      </c>
      <c r="W27" s="238">
        <v>0</v>
      </c>
      <c r="X27" s="238">
        <v>0</v>
      </c>
      <c r="Y27" s="238">
        <v>0</v>
      </c>
      <c r="Z27" s="239">
        <v>0</v>
      </c>
      <c r="AB27" s="666">
        <v>21</v>
      </c>
      <c r="AC27" s="676">
        <v>539.97</v>
      </c>
      <c r="AD27" s="677">
        <v>770.5</v>
      </c>
      <c r="AE27" s="677">
        <v>1240.25</v>
      </c>
      <c r="AF27" s="677">
        <v>1325.84</v>
      </c>
      <c r="AG27" s="677">
        <v>0</v>
      </c>
      <c r="AH27" s="677">
        <v>0</v>
      </c>
      <c r="AI27" s="677">
        <v>0</v>
      </c>
      <c r="AJ27" s="677">
        <v>0</v>
      </c>
      <c r="AK27" s="677">
        <v>0</v>
      </c>
      <c r="AL27" s="677">
        <v>0</v>
      </c>
      <c r="AM27" s="677">
        <v>0</v>
      </c>
      <c r="AN27" s="678">
        <v>0</v>
      </c>
      <c r="AO27" s="672"/>
      <c r="AP27" s="363"/>
      <c r="AQ27"/>
      <c r="AR27"/>
      <c r="AS27"/>
      <c r="AT27"/>
      <c r="AU27"/>
      <c r="AV27"/>
      <c r="AW27"/>
      <c r="AX27"/>
      <c r="AY27"/>
      <c r="AZ27"/>
      <c r="BA27"/>
      <c r="BB27"/>
      <c r="BC27"/>
      <c r="BD27"/>
      <c r="BE27"/>
    </row>
    <row r="28" spans="2:57" ht="27" customHeight="1" thickBot="1" x14ac:dyDescent="0.25">
      <c r="B28" s="398">
        <f t="shared" si="0"/>
        <v>18</v>
      </c>
      <c r="C28" s="591" t="s">
        <v>46</v>
      </c>
      <c r="D28" s="591" t="s">
        <v>44</v>
      </c>
      <c r="E28" s="586">
        <v>225.4</v>
      </c>
      <c r="F28" s="586">
        <v>1.2</v>
      </c>
      <c r="G28" s="596">
        <v>202.5</v>
      </c>
      <c r="H28" s="596">
        <v>0.20599999999999999</v>
      </c>
      <c r="I28" s="594">
        <v>202.3</v>
      </c>
      <c r="J28" s="803">
        <v>0.18823000000000001</v>
      </c>
      <c r="K28" s="589" t="s">
        <v>203</v>
      </c>
      <c r="L28" s="590">
        <f t="shared" ref="L28:L47" si="2">IF(J28=0,"Waduk Kosong",)</f>
        <v>0</v>
      </c>
      <c r="M28" s="224"/>
      <c r="N28" s="231">
        <v>22</v>
      </c>
      <c r="O28" s="499">
        <v>644.20000000000005</v>
      </c>
      <c r="P28" s="496">
        <v>937.36</v>
      </c>
      <c r="Q28" s="496">
        <v>1147</v>
      </c>
      <c r="R28" s="238">
        <v>1297.76</v>
      </c>
      <c r="S28" s="496">
        <v>1268</v>
      </c>
      <c r="T28" s="238">
        <v>0</v>
      </c>
      <c r="U28" s="238">
        <v>0</v>
      </c>
      <c r="V28" s="238">
        <v>0</v>
      </c>
      <c r="W28" s="238">
        <v>0</v>
      </c>
      <c r="X28" s="238">
        <v>0</v>
      </c>
      <c r="Y28" s="238">
        <v>0</v>
      </c>
      <c r="Z28" s="239">
        <v>0</v>
      </c>
      <c r="AB28" s="665">
        <v>22</v>
      </c>
      <c r="AC28" s="676">
        <v>543.92999999999995</v>
      </c>
      <c r="AD28" s="677">
        <v>801.6</v>
      </c>
      <c r="AE28" s="677">
        <v>1241.27</v>
      </c>
      <c r="AF28" s="677">
        <v>1325.68</v>
      </c>
      <c r="AG28" s="677">
        <v>0</v>
      </c>
      <c r="AH28" s="677">
        <v>0</v>
      </c>
      <c r="AI28" s="677">
        <v>0</v>
      </c>
      <c r="AJ28" s="677">
        <v>0</v>
      </c>
      <c r="AK28" s="677">
        <v>0</v>
      </c>
      <c r="AL28" s="677">
        <v>0</v>
      </c>
      <c r="AM28" s="677">
        <v>0</v>
      </c>
      <c r="AN28" s="678">
        <v>0</v>
      </c>
      <c r="AO28" s="672"/>
      <c r="AP28" s="363"/>
      <c r="AQ28"/>
      <c r="AR28"/>
      <c r="AS28"/>
      <c r="AT28"/>
      <c r="AU28"/>
      <c r="AV28"/>
      <c r="AW28"/>
      <c r="AX28"/>
      <c r="AY28"/>
      <c r="AZ28"/>
      <c r="BA28"/>
      <c r="BB28"/>
      <c r="BC28"/>
      <c r="BD28"/>
      <c r="BE28"/>
    </row>
    <row r="29" spans="2:57" ht="27" customHeight="1" thickBot="1" x14ac:dyDescent="0.25">
      <c r="B29" s="398">
        <f t="shared" si="0"/>
        <v>19</v>
      </c>
      <c r="C29" s="591" t="s">
        <v>47</v>
      </c>
      <c r="D29" s="591" t="s">
        <v>44</v>
      </c>
      <c r="E29" s="586">
        <v>224</v>
      </c>
      <c r="F29" s="587">
        <v>0.6</v>
      </c>
      <c r="G29" s="596">
        <v>221.06</v>
      </c>
      <c r="H29" s="596">
        <v>0.35399999999999998</v>
      </c>
      <c r="I29" s="599">
        <v>223.29</v>
      </c>
      <c r="J29" s="804">
        <v>0.52900000000000003</v>
      </c>
      <c r="K29" s="589" t="s">
        <v>203</v>
      </c>
      <c r="L29" s="600">
        <f t="shared" si="2"/>
        <v>0</v>
      </c>
      <c r="M29" s="224"/>
      <c r="N29" s="231">
        <v>23</v>
      </c>
      <c r="O29" s="499">
        <v>648.29</v>
      </c>
      <c r="P29" s="496">
        <v>945.95</v>
      </c>
      <c r="Q29" s="496">
        <v>1150</v>
      </c>
      <c r="R29" s="238">
        <v>1297.1099999999999</v>
      </c>
      <c r="S29" s="496">
        <v>1273</v>
      </c>
      <c r="T29" s="238">
        <v>0</v>
      </c>
      <c r="U29" s="238">
        <v>0</v>
      </c>
      <c r="V29" s="238">
        <v>0</v>
      </c>
      <c r="W29" s="238">
        <v>0</v>
      </c>
      <c r="X29" s="238">
        <v>0</v>
      </c>
      <c r="Y29" s="238">
        <v>0</v>
      </c>
      <c r="Z29" s="239">
        <v>0</v>
      </c>
      <c r="AB29" s="665">
        <v>23</v>
      </c>
      <c r="AC29" s="676">
        <v>546.55999999999995</v>
      </c>
      <c r="AD29" s="677">
        <v>819.83</v>
      </c>
      <c r="AE29" s="677">
        <v>1248.96</v>
      </c>
      <c r="AF29" s="677">
        <v>1325.5</v>
      </c>
      <c r="AG29" s="677">
        <v>0</v>
      </c>
      <c r="AH29" s="677">
        <v>0</v>
      </c>
      <c r="AI29" s="677">
        <v>0</v>
      </c>
      <c r="AJ29" s="677">
        <v>0</v>
      </c>
      <c r="AK29" s="677">
        <v>0</v>
      </c>
      <c r="AL29" s="677">
        <v>0</v>
      </c>
      <c r="AM29" s="677">
        <v>0</v>
      </c>
      <c r="AN29" s="678">
        <v>0</v>
      </c>
      <c r="AO29" s="672"/>
      <c r="AP29" s="363"/>
      <c r="AQ29"/>
      <c r="AR29"/>
      <c r="AS29"/>
      <c r="AT29" s="364"/>
      <c r="AU29"/>
      <c r="AV29"/>
      <c r="AW29"/>
      <c r="AX29"/>
      <c r="AY29"/>
      <c r="AZ29"/>
      <c r="BA29"/>
      <c r="BB29"/>
      <c r="BC29"/>
      <c r="BD29"/>
      <c r="BE29"/>
    </row>
    <row r="30" spans="2:57" ht="27" customHeight="1" thickBot="1" x14ac:dyDescent="0.25">
      <c r="B30" s="398">
        <f t="shared" si="0"/>
        <v>20</v>
      </c>
      <c r="C30" s="591" t="s">
        <v>48</v>
      </c>
      <c r="D30" s="591" t="s">
        <v>44</v>
      </c>
      <c r="E30" s="586">
        <v>196</v>
      </c>
      <c r="F30" s="587">
        <v>1.5820000000000001</v>
      </c>
      <c r="G30" s="596">
        <v>193.8</v>
      </c>
      <c r="H30" s="594">
        <v>0.22</v>
      </c>
      <c r="I30" s="599">
        <v>194.64</v>
      </c>
      <c r="J30" s="803">
        <v>0.29957279999999997</v>
      </c>
      <c r="K30" s="589" t="s">
        <v>203</v>
      </c>
      <c r="L30" s="590">
        <f t="shared" si="2"/>
        <v>0</v>
      </c>
      <c r="M30" s="224"/>
      <c r="N30" s="231">
        <v>24</v>
      </c>
      <c r="O30" s="499">
        <v>651.52</v>
      </c>
      <c r="P30" s="496">
        <v>956.63</v>
      </c>
      <c r="Q30" s="496">
        <v>1160</v>
      </c>
      <c r="R30" s="238">
        <v>1296.8900000000001</v>
      </c>
      <c r="S30" s="496">
        <v>1268.77</v>
      </c>
      <c r="T30" s="238">
        <v>0</v>
      </c>
      <c r="U30" s="238">
        <v>0</v>
      </c>
      <c r="V30" s="238">
        <v>0</v>
      </c>
      <c r="W30" s="238">
        <v>0</v>
      </c>
      <c r="X30" s="238">
        <v>0</v>
      </c>
      <c r="Y30" s="238">
        <v>0</v>
      </c>
      <c r="Z30" s="239">
        <v>0</v>
      </c>
      <c r="AB30" s="665">
        <v>24</v>
      </c>
      <c r="AC30" s="676">
        <v>520.12</v>
      </c>
      <c r="AD30" s="677">
        <v>828.26</v>
      </c>
      <c r="AE30" s="677">
        <v>1248.82</v>
      </c>
      <c r="AF30" s="677">
        <v>1331.05</v>
      </c>
      <c r="AG30" s="677">
        <v>0</v>
      </c>
      <c r="AH30" s="677">
        <v>0</v>
      </c>
      <c r="AI30" s="677">
        <v>0</v>
      </c>
      <c r="AJ30" s="677">
        <v>0</v>
      </c>
      <c r="AK30" s="677">
        <v>0</v>
      </c>
      <c r="AL30" s="677">
        <v>0</v>
      </c>
      <c r="AM30" s="677">
        <v>0</v>
      </c>
      <c r="AN30" s="678">
        <v>0</v>
      </c>
      <c r="AO30" s="672"/>
      <c r="AP30" s="363"/>
      <c r="AQ30"/>
      <c r="AR30"/>
      <c r="AS30"/>
      <c r="AT30" s="364"/>
      <c r="AU30"/>
      <c r="AV30"/>
      <c r="AW30"/>
      <c r="AX30"/>
      <c r="AY30"/>
      <c r="AZ30"/>
      <c r="BA30"/>
      <c r="BB30"/>
      <c r="BC30"/>
      <c r="BD30"/>
      <c r="BE30"/>
    </row>
    <row r="31" spans="2:57" ht="27" customHeight="1" thickBot="1" x14ac:dyDescent="0.25">
      <c r="B31" s="398">
        <f t="shared" si="0"/>
        <v>21</v>
      </c>
      <c r="C31" s="591" t="s">
        <v>49</v>
      </c>
      <c r="D31" s="591" t="s">
        <v>44</v>
      </c>
      <c r="E31" s="586">
        <v>174</v>
      </c>
      <c r="F31" s="587">
        <v>0.47899999999999998</v>
      </c>
      <c r="G31" s="596">
        <v>169.3</v>
      </c>
      <c r="H31" s="596">
        <v>0.09</v>
      </c>
      <c r="I31" s="599">
        <v>169.55</v>
      </c>
      <c r="J31" s="803">
        <v>0.102786</v>
      </c>
      <c r="K31" s="589" t="s">
        <v>203</v>
      </c>
      <c r="L31" s="600">
        <f t="shared" si="2"/>
        <v>0</v>
      </c>
      <c r="M31" s="224"/>
      <c r="N31" s="231">
        <v>25</v>
      </c>
      <c r="O31" s="499">
        <v>650.16999999999996</v>
      </c>
      <c r="P31" s="496">
        <v>970.67</v>
      </c>
      <c r="Q31" s="496">
        <v>1165</v>
      </c>
      <c r="R31" s="238">
        <v>1298.76</v>
      </c>
      <c r="S31" s="496">
        <v>1269.49</v>
      </c>
      <c r="T31" s="238">
        <v>0</v>
      </c>
      <c r="U31" s="238">
        <v>0</v>
      </c>
      <c r="V31" s="238">
        <v>0</v>
      </c>
      <c r="W31" s="238">
        <v>0</v>
      </c>
      <c r="X31" s="238">
        <v>0</v>
      </c>
      <c r="Y31" s="238">
        <v>0</v>
      </c>
      <c r="Z31" s="239">
        <v>0</v>
      </c>
      <c r="AB31" s="665">
        <v>25</v>
      </c>
      <c r="AC31" s="676">
        <v>553.91999999999996</v>
      </c>
      <c r="AD31" s="677">
        <v>840.04</v>
      </c>
      <c r="AE31" s="677">
        <v>1254.3</v>
      </c>
      <c r="AF31" s="677">
        <v>1330.25</v>
      </c>
      <c r="AG31" s="677">
        <v>0</v>
      </c>
      <c r="AH31" s="677">
        <v>0</v>
      </c>
      <c r="AI31" s="677">
        <v>0</v>
      </c>
      <c r="AJ31" s="677">
        <v>0</v>
      </c>
      <c r="AK31" s="677">
        <v>0</v>
      </c>
      <c r="AL31" s="677">
        <v>0</v>
      </c>
      <c r="AM31" s="677">
        <v>0</v>
      </c>
      <c r="AN31" s="678">
        <v>0</v>
      </c>
      <c r="AO31" s="672"/>
      <c r="AP31" s="363"/>
      <c r="AQ31"/>
      <c r="AR31"/>
      <c r="AS31"/>
      <c r="AT31" s="364"/>
      <c r="AU31"/>
      <c r="AV31"/>
      <c r="AW31"/>
      <c r="AX31"/>
      <c r="AY31"/>
      <c r="AZ31"/>
      <c r="BA31"/>
      <c r="BB31"/>
      <c r="BC31"/>
      <c r="BD31"/>
      <c r="BE31"/>
    </row>
    <row r="32" spans="2:57" ht="27" customHeight="1" thickBot="1" x14ac:dyDescent="0.25">
      <c r="B32" s="395">
        <f t="shared" si="0"/>
        <v>22</v>
      </c>
      <c r="C32" s="585" t="s">
        <v>50</v>
      </c>
      <c r="D32" s="585" t="s">
        <v>44</v>
      </c>
      <c r="E32" s="592">
        <v>229.1</v>
      </c>
      <c r="F32" s="593">
        <v>0.79200000000000004</v>
      </c>
      <c r="G32" s="601">
        <v>224.71</v>
      </c>
      <c r="H32" s="601">
        <v>0.41799999999999998</v>
      </c>
      <c r="I32" s="602">
        <v>225.89</v>
      </c>
      <c r="J32" s="805">
        <v>0.51852900000000002</v>
      </c>
      <c r="K32" s="589" t="s">
        <v>203</v>
      </c>
      <c r="L32" s="600">
        <f t="shared" si="2"/>
        <v>0</v>
      </c>
      <c r="M32" s="224"/>
      <c r="N32" s="231">
        <v>26</v>
      </c>
      <c r="O32" s="499">
        <v>661.43</v>
      </c>
      <c r="P32" s="496">
        <v>982.65</v>
      </c>
      <c r="Q32" s="496">
        <v>1177</v>
      </c>
      <c r="R32" s="238">
        <v>1295.3499999999999</v>
      </c>
      <c r="S32" s="496">
        <v>1269.8900000000001</v>
      </c>
      <c r="T32" s="238">
        <v>0</v>
      </c>
      <c r="U32" s="238">
        <v>0</v>
      </c>
      <c r="V32" s="238">
        <v>0</v>
      </c>
      <c r="W32" s="238">
        <v>0</v>
      </c>
      <c r="X32" s="238">
        <v>0</v>
      </c>
      <c r="Y32" s="238">
        <v>0</v>
      </c>
      <c r="Z32" s="239">
        <v>0</v>
      </c>
      <c r="AB32" s="666">
        <v>26</v>
      </c>
      <c r="AC32" s="676">
        <v>569.9</v>
      </c>
      <c r="AD32" s="677">
        <v>855.1</v>
      </c>
      <c r="AE32" s="677">
        <v>1256.3900000000001</v>
      </c>
      <c r="AF32" s="677">
        <v>1325.57</v>
      </c>
      <c r="AG32" s="677">
        <v>0</v>
      </c>
      <c r="AH32" s="677">
        <v>0</v>
      </c>
      <c r="AI32" s="677">
        <v>0</v>
      </c>
      <c r="AJ32" s="677">
        <v>0</v>
      </c>
      <c r="AK32" s="677">
        <v>0</v>
      </c>
      <c r="AL32" s="677">
        <v>0</v>
      </c>
      <c r="AM32" s="677">
        <v>0</v>
      </c>
      <c r="AN32" s="678">
        <v>0</v>
      </c>
      <c r="AO32" s="672"/>
      <c r="AP32" s="363"/>
      <c r="AQ32"/>
      <c r="AR32"/>
      <c r="AS32"/>
      <c r="AT32" s="364"/>
      <c r="AU32"/>
      <c r="AV32"/>
      <c r="AW32"/>
      <c r="AX32"/>
      <c r="AY32"/>
      <c r="AZ32"/>
      <c r="BA32"/>
      <c r="BB32"/>
      <c r="BC32"/>
      <c r="BD32"/>
      <c r="BE32"/>
    </row>
    <row r="33" spans="2:57" ht="27" customHeight="1" thickBot="1" x14ac:dyDescent="0.25">
      <c r="B33" s="398">
        <f t="shared" si="0"/>
        <v>23</v>
      </c>
      <c r="C33" s="591" t="s">
        <v>51</v>
      </c>
      <c r="D33" s="591" t="s">
        <v>44</v>
      </c>
      <c r="E33" s="586">
        <v>249</v>
      </c>
      <c r="F33" s="587">
        <v>2.1240000000000001</v>
      </c>
      <c r="G33" s="596">
        <v>241.16</v>
      </c>
      <c r="H33" s="596">
        <v>0.35499999999999998</v>
      </c>
      <c r="I33" s="599">
        <v>243.2</v>
      </c>
      <c r="J33" s="804">
        <v>0.64993000000000001</v>
      </c>
      <c r="K33" s="589" t="s">
        <v>203</v>
      </c>
      <c r="L33" s="600">
        <f t="shared" si="2"/>
        <v>0</v>
      </c>
      <c r="M33" s="224"/>
      <c r="N33" s="231">
        <v>27</v>
      </c>
      <c r="O33" s="499">
        <v>666.04</v>
      </c>
      <c r="P33" s="496">
        <v>998.34</v>
      </c>
      <c r="Q33" s="496">
        <v>1182</v>
      </c>
      <c r="R33" s="238">
        <v>1292.3699999999999</v>
      </c>
      <c r="S33" s="496">
        <v>1273.3</v>
      </c>
      <c r="T33" s="238">
        <v>0</v>
      </c>
      <c r="U33" s="238">
        <v>0</v>
      </c>
      <c r="V33" s="238">
        <v>0</v>
      </c>
      <c r="W33" s="238">
        <v>0</v>
      </c>
      <c r="X33" s="238">
        <v>0</v>
      </c>
      <c r="Y33" s="238">
        <v>0</v>
      </c>
      <c r="Z33" s="239">
        <v>0</v>
      </c>
      <c r="AB33" s="665">
        <v>27</v>
      </c>
      <c r="AC33" s="676">
        <v>578.73</v>
      </c>
      <c r="AD33" s="677">
        <v>868.26</v>
      </c>
      <c r="AE33" s="677">
        <v>1260.51</v>
      </c>
      <c r="AF33" s="677">
        <v>1325.65</v>
      </c>
      <c r="AG33" s="677">
        <v>0</v>
      </c>
      <c r="AH33" s="677">
        <v>0</v>
      </c>
      <c r="AI33" s="677">
        <v>0</v>
      </c>
      <c r="AJ33" s="677">
        <v>0</v>
      </c>
      <c r="AK33" s="677">
        <v>0</v>
      </c>
      <c r="AL33" s="677">
        <v>0</v>
      </c>
      <c r="AM33" s="677">
        <v>0</v>
      </c>
      <c r="AN33" s="678">
        <v>0</v>
      </c>
      <c r="AO33" s="672"/>
      <c r="AP33" s="363"/>
      <c r="AQ33"/>
      <c r="AR33"/>
      <c r="AS33"/>
      <c r="AT33" s="364"/>
      <c r="AU33"/>
      <c r="AV33"/>
      <c r="AW33"/>
      <c r="AX33"/>
      <c r="AY33"/>
      <c r="AZ33"/>
      <c r="BA33"/>
      <c r="BB33"/>
      <c r="BC33"/>
      <c r="BD33"/>
      <c r="BE33"/>
    </row>
    <row r="34" spans="2:57" ht="27" customHeight="1" thickBot="1" x14ac:dyDescent="0.25">
      <c r="B34" s="398">
        <f t="shared" si="0"/>
        <v>24</v>
      </c>
      <c r="C34" s="591" t="s">
        <v>52</v>
      </c>
      <c r="D34" s="591" t="s">
        <v>84</v>
      </c>
      <c r="E34" s="586">
        <v>164.75</v>
      </c>
      <c r="F34" s="586">
        <v>5</v>
      </c>
      <c r="G34" s="596">
        <v>147</v>
      </c>
      <c r="H34" s="596">
        <v>1.59</v>
      </c>
      <c r="I34" s="594">
        <v>149.55000000000001</v>
      </c>
      <c r="J34" s="804">
        <v>3.2364805099999998</v>
      </c>
      <c r="K34" s="589" t="s">
        <v>203</v>
      </c>
      <c r="L34" s="600">
        <f t="shared" si="2"/>
        <v>0</v>
      </c>
      <c r="M34" s="224"/>
      <c r="N34" s="231">
        <v>28</v>
      </c>
      <c r="O34" s="499">
        <v>678.45</v>
      </c>
      <c r="P34" s="496">
        <v>1019.22</v>
      </c>
      <c r="Q34" s="496">
        <v>1187.53</v>
      </c>
      <c r="R34" s="238">
        <v>1289.74</v>
      </c>
      <c r="S34" s="496">
        <v>1276</v>
      </c>
      <c r="T34" s="238">
        <v>0</v>
      </c>
      <c r="U34" s="238">
        <v>0</v>
      </c>
      <c r="V34" s="238">
        <v>0</v>
      </c>
      <c r="W34" s="238">
        <v>0</v>
      </c>
      <c r="X34" s="238">
        <v>0</v>
      </c>
      <c r="Y34" s="238">
        <v>0</v>
      </c>
      <c r="Z34" s="239">
        <v>0</v>
      </c>
      <c r="AB34" s="665">
        <v>28</v>
      </c>
      <c r="AC34" s="676">
        <v>581.6</v>
      </c>
      <c r="AD34" s="677">
        <v>889.62</v>
      </c>
      <c r="AE34" s="677">
        <v>1257.74</v>
      </c>
      <c r="AF34" s="677">
        <v>1330.46</v>
      </c>
      <c r="AG34" s="677">
        <v>0</v>
      </c>
      <c r="AH34" s="677">
        <v>0</v>
      </c>
      <c r="AI34" s="677">
        <v>0</v>
      </c>
      <c r="AJ34" s="677">
        <v>0</v>
      </c>
      <c r="AK34" s="677">
        <v>0</v>
      </c>
      <c r="AL34" s="677">
        <v>0</v>
      </c>
      <c r="AM34" s="677">
        <v>0</v>
      </c>
      <c r="AN34" s="678">
        <v>0</v>
      </c>
      <c r="AO34" s="672"/>
      <c r="AP34" s="363"/>
      <c r="AQ34"/>
      <c r="AR34"/>
      <c r="AS34"/>
      <c r="AT34" s="364"/>
      <c r="AU34"/>
      <c r="AV34"/>
      <c r="AW34"/>
      <c r="AX34"/>
      <c r="AY34"/>
      <c r="AZ34"/>
      <c r="BA34"/>
      <c r="BB34"/>
      <c r="BC34"/>
      <c r="BD34"/>
      <c r="BE34"/>
    </row>
    <row r="35" spans="2:57" ht="27" customHeight="1" thickBot="1" x14ac:dyDescent="0.25">
      <c r="B35" s="398">
        <f t="shared" si="0"/>
        <v>25</v>
      </c>
      <c r="C35" s="591" t="s">
        <v>53</v>
      </c>
      <c r="D35" s="591" t="s">
        <v>84</v>
      </c>
      <c r="E35" s="586">
        <v>179.1</v>
      </c>
      <c r="F35" s="587">
        <v>4.2</v>
      </c>
      <c r="G35" s="603">
        <v>229.88</v>
      </c>
      <c r="H35" s="603">
        <v>1.8939999999999999</v>
      </c>
      <c r="I35" s="594">
        <v>231.13</v>
      </c>
      <c r="J35" s="803">
        <v>2.5542298400000001</v>
      </c>
      <c r="K35" s="589" t="s">
        <v>203</v>
      </c>
      <c r="L35" s="600">
        <f t="shared" si="2"/>
        <v>0</v>
      </c>
      <c r="M35" s="224"/>
      <c r="N35" s="231">
        <v>29</v>
      </c>
      <c r="O35" s="499">
        <v>681.5</v>
      </c>
      <c r="P35" s="496">
        <v>1032.74</v>
      </c>
      <c r="Q35" s="496">
        <v>1187</v>
      </c>
      <c r="R35" s="238">
        <v>1295.45</v>
      </c>
      <c r="S35" s="496">
        <v>1272</v>
      </c>
      <c r="T35" s="238">
        <v>0</v>
      </c>
      <c r="U35" s="238">
        <v>0</v>
      </c>
      <c r="V35" s="238">
        <v>0</v>
      </c>
      <c r="W35" s="238">
        <v>0</v>
      </c>
      <c r="X35" s="238">
        <v>0</v>
      </c>
      <c r="Y35" s="238">
        <v>0</v>
      </c>
      <c r="Z35" s="239">
        <v>0</v>
      </c>
      <c r="AB35" s="665">
        <v>29</v>
      </c>
      <c r="AC35" s="676">
        <v>583.95000000000005</v>
      </c>
      <c r="AD35" s="677">
        <v>899.2</v>
      </c>
      <c r="AE35" s="677">
        <v>1258.47</v>
      </c>
      <c r="AF35" s="677">
        <v>1329.06</v>
      </c>
      <c r="AG35" s="677">
        <v>0</v>
      </c>
      <c r="AH35" s="677">
        <v>0</v>
      </c>
      <c r="AI35" s="677">
        <v>0</v>
      </c>
      <c r="AJ35" s="677">
        <v>0</v>
      </c>
      <c r="AK35" s="677">
        <v>0</v>
      </c>
      <c r="AL35" s="677">
        <v>0</v>
      </c>
      <c r="AM35" s="677">
        <v>0</v>
      </c>
      <c r="AN35" s="678">
        <v>0</v>
      </c>
      <c r="AO35" s="672"/>
      <c r="AP35" s="363"/>
      <c r="AQ35"/>
      <c r="AR35"/>
      <c r="AS35"/>
      <c r="AT35" s="364"/>
      <c r="AU35"/>
      <c r="AV35"/>
      <c r="AW35"/>
      <c r="AX35"/>
      <c r="AY35"/>
      <c r="AZ35"/>
      <c r="BA35"/>
      <c r="BB35"/>
      <c r="BC35"/>
      <c r="BD35"/>
      <c r="BE35"/>
    </row>
    <row r="36" spans="2:57" ht="27" customHeight="1" thickBot="1" x14ac:dyDescent="0.25">
      <c r="B36" s="398">
        <f t="shared" si="0"/>
        <v>26</v>
      </c>
      <c r="C36" s="591" t="s">
        <v>54</v>
      </c>
      <c r="D36" s="591" t="s">
        <v>85</v>
      </c>
      <c r="E36" s="586">
        <v>325.56</v>
      </c>
      <c r="F36" s="587">
        <v>0.70099999999999996</v>
      </c>
      <c r="G36" s="603">
        <v>325.5</v>
      </c>
      <c r="H36" s="603">
        <v>0.69499999999999995</v>
      </c>
      <c r="I36" s="599">
        <v>324.72000000000003</v>
      </c>
      <c r="J36" s="804">
        <v>0.62363170000000001</v>
      </c>
      <c r="K36" s="589" t="s">
        <v>203</v>
      </c>
      <c r="L36" s="590">
        <f t="shared" si="2"/>
        <v>0</v>
      </c>
      <c r="M36" s="224"/>
      <c r="N36" s="231">
        <v>30</v>
      </c>
      <c r="O36" s="499">
        <v>691.96</v>
      </c>
      <c r="P36" s="500"/>
      <c r="Q36" s="496">
        <v>1202.5999999999999</v>
      </c>
      <c r="R36" s="238">
        <v>1297.28</v>
      </c>
      <c r="S36" s="496">
        <v>1272</v>
      </c>
      <c r="T36" s="238">
        <v>0</v>
      </c>
      <c r="U36" s="238">
        <v>0</v>
      </c>
      <c r="V36" s="238">
        <v>0</v>
      </c>
      <c r="W36" s="238">
        <v>0</v>
      </c>
      <c r="X36" s="238">
        <v>0</v>
      </c>
      <c r="Y36" s="238">
        <v>0</v>
      </c>
      <c r="Z36" s="239">
        <v>0</v>
      </c>
      <c r="AB36" s="665">
        <v>30</v>
      </c>
      <c r="AC36" s="676">
        <v>586.62</v>
      </c>
      <c r="AD36" s="679"/>
      <c r="AE36" s="677">
        <v>1261.4000000000001</v>
      </c>
      <c r="AF36" s="677">
        <v>1331.05</v>
      </c>
      <c r="AG36" s="677">
        <v>0</v>
      </c>
      <c r="AH36" s="677">
        <v>0</v>
      </c>
      <c r="AI36" s="677">
        <v>0</v>
      </c>
      <c r="AJ36" s="677">
        <v>0</v>
      </c>
      <c r="AK36" s="677">
        <v>0</v>
      </c>
      <c r="AL36" s="677">
        <v>0</v>
      </c>
      <c r="AM36" s="677">
        <v>0</v>
      </c>
      <c r="AN36" s="678">
        <v>0</v>
      </c>
      <c r="AO36" s="672"/>
      <c r="AP36" s="363"/>
      <c r="AQ36"/>
      <c r="AR36"/>
      <c r="AS36"/>
      <c r="AT36" s="364"/>
      <c r="AU36"/>
      <c r="AV36"/>
      <c r="AW36"/>
      <c r="AX36"/>
      <c r="AY36"/>
      <c r="AZ36"/>
      <c r="BA36"/>
      <c r="BB36"/>
      <c r="BC36"/>
      <c r="BD36"/>
      <c r="BE36"/>
    </row>
    <row r="37" spans="2:57" ht="27" customHeight="1" thickBot="1" x14ac:dyDescent="0.25">
      <c r="B37" s="398">
        <f t="shared" si="0"/>
        <v>27</v>
      </c>
      <c r="C37" s="591" t="s">
        <v>55</v>
      </c>
      <c r="D37" s="591" t="s">
        <v>85</v>
      </c>
      <c r="E37" s="586">
        <v>129.19999999999999</v>
      </c>
      <c r="F37" s="587">
        <v>0.5</v>
      </c>
      <c r="G37" s="596">
        <v>126.62</v>
      </c>
      <c r="H37" s="596">
        <v>0.22800000000000001</v>
      </c>
      <c r="I37" s="599">
        <v>129.19999999999999</v>
      </c>
      <c r="J37" s="803">
        <v>0.5</v>
      </c>
      <c r="K37" s="589" t="s">
        <v>203</v>
      </c>
      <c r="L37" s="590">
        <f t="shared" si="2"/>
        <v>0</v>
      </c>
      <c r="M37" s="224"/>
      <c r="N37" s="231">
        <v>31</v>
      </c>
      <c r="O37" s="499">
        <v>692.87</v>
      </c>
      <c r="P37" s="500"/>
      <c r="Q37" s="496">
        <v>1208.5</v>
      </c>
      <c r="R37" s="238"/>
      <c r="S37" s="496">
        <v>1281.28</v>
      </c>
      <c r="T37" s="238">
        <v>0</v>
      </c>
      <c r="U37" s="238">
        <v>0</v>
      </c>
      <c r="V37" s="238">
        <v>0</v>
      </c>
      <c r="W37" s="238">
        <v>0</v>
      </c>
      <c r="X37" s="238">
        <v>0</v>
      </c>
      <c r="Y37" s="238">
        <v>0</v>
      </c>
      <c r="Z37" s="239">
        <v>0</v>
      </c>
      <c r="AB37" s="665">
        <v>31</v>
      </c>
      <c r="AC37" s="676">
        <v>589.03</v>
      </c>
      <c r="AD37" s="679"/>
      <c r="AE37" s="677">
        <v>1268.79</v>
      </c>
      <c r="AF37" s="679"/>
      <c r="AG37" s="677">
        <v>0</v>
      </c>
      <c r="AH37" s="679"/>
      <c r="AI37" s="677">
        <v>0</v>
      </c>
      <c r="AJ37" s="677">
        <v>0</v>
      </c>
      <c r="AK37" s="679"/>
      <c r="AL37" s="677">
        <v>0</v>
      </c>
      <c r="AM37" s="679"/>
      <c r="AN37" s="678">
        <v>0</v>
      </c>
      <c r="AO37" s="672"/>
      <c r="AP37" s="363"/>
      <c r="AQ37"/>
      <c r="AR37"/>
      <c r="AS37"/>
      <c r="AT37" s="364"/>
      <c r="AU37"/>
      <c r="AV37"/>
      <c r="AW37"/>
      <c r="AX37"/>
      <c r="AY37"/>
      <c r="AZ37"/>
      <c r="BA37"/>
      <c r="BB37"/>
      <c r="BC37"/>
      <c r="BD37"/>
      <c r="BE37"/>
    </row>
    <row r="38" spans="2:57" ht="27" customHeight="1" thickBot="1" x14ac:dyDescent="0.25">
      <c r="B38" s="398">
        <f t="shared" si="0"/>
        <v>28</v>
      </c>
      <c r="C38" s="591" t="s">
        <v>56</v>
      </c>
      <c r="D38" s="591" t="s">
        <v>85</v>
      </c>
      <c r="E38" s="586">
        <v>282.77999999999997</v>
      </c>
      <c r="F38" s="587">
        <v>0.51300000000000001</v>
      </c>
      <c r="G38" s="596">
        <v>280.32</v>
      </c>
      <c r="H38" s="596">
        <v>0.23200000000000001</v>
      </c>
      <c r="I38" s="594">
        <v>282.77999999999997</v>
      </c>
      <c r="J38" s="803">
        <v>0.57354000000000005</v>
      </c>
      <c r="K38" s="589" t="s">
        <v>203</v>
      </c>
      <c r="L38" s="590">
        <f t="shared" si="2"/>
        <v>0</v>
      </c>
      <c r="M38" s="224"/>
      <c r="N38" s="234"/>
      <c r="O38" s="501"/>
      <c r="P38" s="497"/>
      <c r="Q38" s="497"/>
      <c r="R38" s="241"/>
      <c r="S38" s="497"/>
      <c r="T38" s="240"/>
      <c r="U38" s="241"/>
      <c r="V38" s="241"/>
      <c r="W38" s="241"/>
      <c r="X38" s="241"/>
      <c r="Y38" s="241"/>
      <c r="Z38" s="239">
        <v>0</v>
      </c>
      <c r="AB38" s="680"/>
      <c r="AC38" s="681"/>
      <c r="AD38" s="682"/>
      <c r="AE38" s="682"/>
      <c r="AF38" s="682"/>
      <c r="AG38" s="682"/>
      <c r="AH38" s="682"/>
      <c r="AI38" s="682"/>
      <c r="AJ38" s="682"/>
      <c r="AK38" s="682"/>
      <c r="AL38" s="682"/>
      <c r="AM38" s="682"/>
      <c r="AN38" s="683"/>
      <c r="AO38" s="672"/>
      <c r="AP38" s="363"/>
      <c r="AQ38"/>
      <c r="AR38"/>
      <c r="AS38"/>
      <c r="AT38" s="364"/>
      <c r="AU38"/>
      <c r="AV38"/>
      <c r="AW38"/>
      <c r="AX38"/>
      <c r="AY38"/>
      <c r="AZ38"/>
      <c r="BA38"/>
      <c r="BB38"/>
      <c r="BC38"/>
      <c r="BD38"/>
      <c r="BE38"/>
    </row>
    <row r="39" spans="2:57" ht="27" customHeight="1" x14ac:dyDescent="0.2">
      <c r="B39" s="398">
        <f t="shared" si="0"/>
        <v>29</v>
      </c>
      <c r="C39" s="591" t="s">
        <v>57</v>
      </c>
      <c r="D39" s="591" t="s">
        <v>85</v>
      </c>
      <c r="E39" s="586">
        <v>99</v>
      </c>
      <c r="F39" s="587">
        <v>2.6110000000000002</v>
      </c>
      <c r="G39" s="596">
        <v>97.83</v>
      </c>
      <c r="H39" s="596">
        <v>0.752</v>
      </c>
      <c r="I39" s="599">
        <v>98.84</v>
      </c>
      <c r="J39" s="804">
        <v>0.965187927</v>
      </c>
      <c r="K39" s="589" t="s">
        <v>203</v>
      </c>
      <c r="L39" s="590">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67" t="s">
        <v>145</v>
      </c>
      <c r="AC39" s="684">
        <f>IF(AC43&gt;$BV$62,"tad",IF(AC45&gt;$BV$62,"tad",MAX(AC7:AC37)))</f>
        <v>589.03</v>
      </c>
      <c r="AD39" s="685">
        <f>IF(AD43&gt;$BV$62,"tad",IF(AD45&gt;$BV$62,"tad",MAX(AD7:AD37)))</f>
        <v>899.2</v>
      </c>
      <c r="AE39" s="686">
        <f>IF(AE43&gt;$BV$62,"tad",IF(AE45&gt;$BV$62,"tad",MAX(AE7:AE37)))</f>
        <v>1268.79</v>
      </c>
      <c r="AF39" s="686">
        <f t="shared" ref="AF39:AN40" si="4">IF(AF43&gt;$BV$62,"tad",IF(AF45&gt;$BV$62,"tad",MAX(AF7:AF37)))</f>
        <v>1344.69</v>
      </c>
      <c r="AG39" s="686">
        <f t="shared" si="4"/>
        <v>1346.29</v>
      </c>
      <c r="AH39" s="686">
        <f t="shared" si="4"/>
        <v>0</v>
      </c>
      <c r="AI39" s="686">
        <f t="shared" si="4"/>
        <v>0</v>
      </c>
      <c r="AJ39" s="686">
        <f t="shared" si="4"/>
        <v>0</v>
      </c>
      <c r="AK39" s="686">
        <f t="shared" si="4"/>
        <v>0</v>
      </c>
      <c r="AL39" s="686">
        <f t="shared" si="4"/>
        <v>0</v>
      </c>
      <c r="AM39" s="686">
        <f t="shared" si="4"/>
        <v>0</v>
      </c>
      <c r="AN39" s="687">
        <f t="shared" si="4"/>
        <v>0</v>
      </c>
      <c r="AO39" s="672"/>
      <c r="AP39" s="363"/>
      <c r="AQ39"/>
      <c r="AR39"/>
      <c r="AS39"/>
      <c r="AT39" s="364"/>
      <c r="AU39"/>
      <c r="AV39"/>
      <c r="AW39"/>
      <c r="AX39"/>
      <c r="AY39"/>
      <c r="AZ39"/>
      <c r="BA39"/>
      <c r="BB39"/>
      <c r="BC39"/>
      <c r="BD39"/>
      <c r="BE39"/>
    </row>
    <row r="40" spans="2:57" ht="27" customHeight="1" x14ac:dyDescent="0.2">
      <c r="B40" s="398">
        <f t="shared" si="0"/>
        <v>30</v>
      </c>
      <c r="C40" s="591" t="s">
        <v>58</v>
      </c>
      <c r="D40" s="591" t="s">
        <v>85</v>
      </c>
      <c r="E40" s="586">
        <v>189.7</v>
      </c>
      <c r="F40" s="586">
        <v>7.9000000000000001E-2</v>
      </c>
      <c r="G40" s="596">
        <v>188.87</v>
      </c>
      <c r="H40" s="596">
        <v>5.3999999999999999E-2</v>
      </c>
      <c r="I40" s="599">
        <v>189.4</v>
      </c>
      <c r="J40" s="804">
        <v>7.3440000000000005E-2</v>
      </c>
      <c r="K40" s="589" t="s">
        <v>203</v>
      </c>
      <c r="L40" s="590">
        <f t="shared" si="2"/>
        <v>0</v>
      </c>
      <c r="M40" s="723"/>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88" t="s">
        <v>146</v>
      </c>
      <c r="AC40" s="689">
        <f t="shared" ref="AC40:AM40" si="6">IF(AC43&gt;$BV$62,"tad",IF(AC45&gt;$BV$62,"tad",AVERAGE(AC7:AC37)))</f>
        <v>491.63709677419359</v>
      </c>
      <c r="AD40" s="690">
        <f t="shared" si="6"/>
        <v>710.70275862068956</v>
      </c>
      <c r="AE40" s="690">
        <f>IF(AE43&gt;$BV$62,"tad",IF(AE45&gt;$BV$62,"tad",AVERAGE(AE7:AE37)))</f>
        <v>1158.8019354838709</v>
      </c>
      <c r="AF40" s="691">
        <f t="shared" si="6"/>
        <v>1323.3066666666666</v>
      </c>
      <c r="AG40" s="691">
        <f t="shared" si="6"/>
        <v>471.9941935483871</v>
      </c>
      <c r="AH40" s="691">
        <f t="shared" si="6"/>
        <v>0</v>
      </c>
      <c r="AI40" s="691">
        <f t="shared" si="6"/>
        <v>0</v>
      </c>
      <c r="AJ40" s="691">
        <f t="shared" si="6"/>
        <v>0</v>
      </c>
      <c r="AK40" s="691">
        <f t="shared" si="6"/>
        <v>0</v>
      </c>
      <c r="AL40" s="691">
        <f t="shared" si="6"/>
        <v>0</v>
      </c>
      <c r="AM40" s="691">
        <f t="shared" si="6"/>
        <v>0</v>
      </c>
      <c r="AN40" s="692">
        <f t="shared" si="4"/>
        <v>0</v>
      </c>
      <c r="AO40" s="672"/>
      <c r="AP40" s="363"/>
      <c r="AQ40"/>
      <c r="AR40"/>
      <c r="AS40"/>
      <c r="AT40" s="364"/>
      <c r="AU40"/>
      <c r="AV40"/>
      <c r="AW40"/>
      <c r="AX40"/>
      <c r="AY40"/>
      <c r="AZ40"/>
      <c r="BA40"/>
      <c r="BB40"/>
      <c r="BC40"/>
      <c r="BD40"/>
      <c r="BE40"/>
    </row>
    <row r="41" spans="2:57" ht="27" customHeight="1" thickBot="1" x14ac:dyDescent="0.25">
      <c r="B41" s="398">
        <f t="shared" si="0"/>
        <v>31</v>
      </c>
      <c r="C41" s="591" t="s">
        <v>59</v>
      </c>
      <c r="D41" s="591" t="s">
        <v>85</v>
      </c>
      <c r="E41" s="586">
        <v>171.19</v>
      </c>
      <c r="F41" s="587">
        <v>9.6879999999999994E-2</v>
      </c>
      <c r="G41" s="596">
        <v>169.73</v>
      </c>
      <c r="H41" s="604">
        <v>6.0999999999999999E-2</v>
      </c>
      <c r="I41" s="599">
        <v>171.4</v>
      </c>
      <c r="J41" s="804">
        <v>0.101966</v>
      </c>
      <c r="K41" s="589" t="s">
        <v>203</v>
      </c>
      <c r="L41" s="590">
        <f t="shared" si="2"/>
        <v>0</v>
      </c>
      <c r="M41" s="723"/>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3" t="s">
        <v>147</v>
      </c>
      <c r="AC41" s="694">
        <f t="shared" ref="AC41:AN41" si="8">IF(AC43&gt;$BV$62,"tad",IF(AC45&gt;$BV$62,"tad",MIN(AC7:AC37)))</f>
        <v>338.45</v>
      </c>
      <c r="AD41" s="695">
        <f t="shared" si="8"/>
        <v>594.27</v>
      </c>
      <c r="AE41" s="695">
        <f t="shared" si="8"/>
        <v>908.93</v>
      </c>
      <c r="AF41" s="696">
        <f t="shared" si="8"/>
        <v>1274.99</v>
      </c>
      <c r="AG41" s="696">
        <f t="shared" si="8"/>
        <v>0</v>
      </c>
      <c r="AH41" s="696">
        <f t="shared" si="8"/>
        <v>0</v>
      </c>
      <c r="AI41" s="696">
        <f t="shared" si="8"/>
        <v>0</v>
      </c>
      <c r="AJ41" s="696">
        <f t="shared" si="8"/>
        <v>0</v>
      </c>
      <c r="AK41" s="696">
        <f t="shared" si="8"/>
        <v>0</v>
      </c>
      <c r="AL41" s="696">
        <f t="shared" si="8"/>
        <v>0</v>
      </c>
      <c r="AM41" s="696">
        <f t="shared" si="8"/>
        <v>0</v>
      </c>
      <c r="AN41" s="697">
        <f t="shared" si="8"/>
        <v>0</v>
      </c>
      <c r="AO41" s="672"/>
      <c r="AP41" s="363"/>
      <c r="AQ41"/>
      <c r="AR41"/>
      <c r="AS41"/>
      <c r="AT41" s="364"/>
      <c r="AU41"/>
      <c r="AV41"/>
      <c r="AW41"/>
      <c r="AX41"/>
      <c r="AY41"/>
      <c r="AZ41"/>
      <c r="BA41"/>
      <c r="BB41"/>
      <c r="BC41"/>
      <c r="BD41"/>
      <c r="BE41"/>
    </row>
    <row r="42" spans="2:57" ht="27" customHeight="1" x14ac:dyDescent="0.2">
      <c r="B42" s="398">
        <f t="shared" si="0"/>
        <v>32</v>
      </c>
      <c r="C42" s="591" t="s">
        <v>60</v>
      </c>
      <c r="D42" s="591" t="s">
        <v>86</v>
      </c>
      <c r="E42" s="586">
        <v>142.6</v>
      </c>
      <c r="F42" s="587">
        <v>9.157</v>
      </c>
      <c r="G42" s="596">
        <v>150.37</v>
      </c>
      <c r="H42" s="596">
        <v>2.7679999999999998</v>
      </c>
      <c r="I42" s="594">
        <v>153.15</v>
      </c>
      <c r="J42" s="806">
        <v>9.4786347099999997</v>
      </c>
      <c r="K42" s="589" t="s">
        <v>203</v>
      </c>
      <c r="L42" s="590">
        <f t="shared" si="2"/>
        <v>0</v>
      </c>
      <c r="M42" s="723"/>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67" t="s">
        <v>148</v>
      </c>
      <c r="AC42" s="684">
        <f t="shared" ref="AC42:AN42" si="10">IF(AC43&gt;$BV$62,"tad",AVERAGE(AC7:AC21))</f>
        <v>428.16666666666669</v>
      </c>
      <c r="AD42" s="685">
        <f t="shared" si="10"/>
        <v>631.85666666666657</v>
      </c>
      <c r="AE42" s="685">
        <f t="shared" si="10"/>
        <v>1078.8106666666667</v>
      </c>
      <c r="AF42" s="686">
        <f t="shared" si="10"/>
        <v>1314.7493333333332</v>
      </c>
      <c r="AG42" s="686">
        <f t="shared" si="10"/>
        <v>975.45466666666664</v>
      </c>
      <c r="AH42" s="686">
        <f t="shared" si="10"/>
        <v>0</v>
      </c>
      <c r="AI42" s="686">
        <f t="shared" si="10"/>
        <v>0</v>
      </c>
      <c r="AJ42" s="686">
        <f t="shared" si="10"/>
        <v>0</v>
      </c>
      <c r="AK42" s="686">
        <f t="shared" si="10"/>
        <v>0</v>
      </c>
      <c r="AL42" s="686">
        <f t="shared" si="10"/>
        <v>0</v>
      </c>
      <c r="AM42" s="686">
        <f t="shared" si="10"/>
        <v>0</v>
      </c>
      <c r="AN42" s="687">
        <f t="shared" si="10"/>
        <v>0</v>
      </c>
      <c r="AO42" s="672"/>
      <c r="AP42" s="363"/>
      <c r="AQ42"/>
      <c r="AR42"/>
      <c r="AS42"/>
      <c r="AT42" s="364"/>
      <c r="AU42"/>
      <c r="AV42"/>
      <c r="AW42"/>
      <c r="AX42"/>
      <c r="AY42"/>
      <c r="AZ42"/>
      <c r="BA42"/>
      <c r="BB42"/>
      <c r="BC42"/>
      <c r="BD42"/>
      <c r="BE42"/>
    </row>
    <row r="43" spans="2:57" ht="27" customHeight="1" thickBot="1" x14ac:dyDescent="0.25">
      <c r="B43" s="398">
        <f t="shared" si="0"/>
        <v>33</v>
      </c>
      <c r="C43" s="591" t="s">
        <v>61</v>
      </c>
      <c r="D43" s="591" t="s">
        <v>86</v>
      </c>
      <c r="E43" s="586">
        <v>239.5</v>
      </c>
      <c r="F43" s="587">
        <v>2.6720000000000002</v>
      </c>
      <c r="G43" s="596">
        <v>238.92</v>
      </c>
      <c r="H43" s="604">
        <v>2.3580000000000001</v>
      </c>
      <c r="I43" s="594">
        <v>238.48</v>
      </c>
      <c r="J43" s="806">
        <v>2.1288</v>
      </c>
      <c r="K43" s="589" t="s">
        <v>203</v>
      </c>
      <c r="L43" s="590">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71" t="s">
        <v>149</v>
      </c>
      <c r="AC43" s="694">
        <f t="shared" ref="AC43:AN43" si="11">IF(AR52&gt;0,AR52,0)</f>
        <v>0</v>
      </c>
      <c r="AD43" s="695">
        <f>IF(AS52&gt;0,AS52,0)</f>
        <v>0</v>
      </c>
      <c r="AE43" s="695">
        <f t="shared" si="11"/>
        <v>0</v>
      </c>
      <c r="AF43" s="695">
        <f t="shared" si="11"/>
        <v>0</v>
      </c>
      <c r="AG43" s="695">
        <f t="shared" si="11"/>
        <v>0</v>
      </c>
      <c r="AH43" s="695">
        <f t="shared" si="11"/>
        <v>0</v>
      </c>
      <c r="AI43" s="695">
        <f t="shared" si="11"/>
        <v>0</v>
      </c>
      <c r="AJ43" s="695">
        <f t="shared" si="11"/>
        <v>0</v>
      </c>
      <c r="AK43" s="695">
        <f t="shared" si="11"/>
        <v>0</v>
      </c>
      <c r="AL43" s="695">
        <f t="shared" si="11"/>
        <v>0</v>
      </c>
      <c r="AM43" s="695">
        <f t="shared" si="11"/>
        <v>0</v>
      </c>
      <c r="AN43" s="698">
        <f t="shared" si="11"/>
        <v>0</v>
      </c>
      <c r="AO43" s="672"/>
      <c r="AP43" s="363"/>
      <c r="AQ43"/>
      <c r="AR43"/>
      <c r="AS43"/>
      <c r="AT43" s="364"/>
      <c r="AU43"/>
      <c r="AV43"/>
      <c r="AW43"/>
      <c r="AX43"/>
      <c r="AY43"/>
      <c r="AZ43"/>
      <c r="BA43"/>
      <c r="BB43"/>
      <c r="BC43"/>
      <c r="BD43"/>
      <c r="BE43"/>
    </row>
    <row r="44" spans="2:57" ht="27" customHeight="1" x14ac:dyDescent="0.2">
      <c r="B44" s="398">
        <f t="shared" si="0"/>
        <v>34</v>
      </c>
      <c r="C44" s="591" t="s">
        <v>62</v>
      </c>
      <c r="D44" s="591" t="s">
        <v>87</v>
      </c>
      <c r="E44" s="586">
        <v>120.5</v>
      </c>
      <c r="F44" s="587">
        <v>3.677</v>
      </c>
      <c r="G44" s="596">
        <v>119.75</v>
      </c>
      <c r="H44" s="596">
        <v>2.3010000000000002</v>
      </c>
      <c r="I44" s="594">
        <v>120.75</v>
      </c>
      <c r="J44" s="803">
        <v>4.154369</v>
      </c>
      <c r="K44" s="589" t="s">
        <v>203</v>
      </c>
      <c r="L44" s="590">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67" t="s">
        <v>150</v>
      </c>
      <c r="AC44" s="684">
        <f>IF(AC45&gt;$BV$62,"tad",AVERAGE(AC22:AC37))</f>
        <v>551.140625</v>
      </c>
      <c r="AD44" s="685">
        <f t="shared" ref="AD44:AN44" si="13">IF(AD45&gt;$BV$62,"tad",AVERAGE(AD22:AD37))</f>
        <v>795.18071428571443</v>
      </c>
      <c r="AE44" s="685">
        <f t="shared" si="13"/>
        <v>1233.79375</v>
      </c>
      <c r="AF44" s="685">
        <f t="shared" si="13"/>
        <v>1331.864</v>
      </c>
      <c r="AG44" s="685">
        <f t="shared" si="13"/>
        <v>0</v>
      </c>
      <c r="AH44" s="685">
        <f t="shared" si="13"/>
        <v>0</v>
      </c>
      <c r="AI44" s="685">
        <f t="shared" si="13"/>
        <v>0</v>
      </c>
      <c r="AJ44" s="685">
        <f t="shared" si="13"/>
        <v>0</v>
      </c>
      <c r="AK44" s="685">
        <f t="shared" si="13"/>
        <v>0</v>
      </c>
      <c r="AL44" s="685">
        <f t="shared" si="13"/>
        <v>0</v>
      </c>
      <c r="AM44" s="685">
        <f t="shared" si="13"/>
        <v>0</v>
      </c>
      <c r="AN44" s="699">
        <f t="shared" si="13"/>
        <v>0</v>
      </c>
      <c r="AO44" s="672"/>
      <c r="AP44" s="363"/>
      <c r="AQ44"/>
      <c r="AR44"/>
      <c r="AS44"/>
      <c r="AT44" s="364"/>
      <c r="AU44"/>
      <c r="AV44"/>
      <c r="AW44"/>
      <c r="AX44"/>
      <c r="AY44"/>
      <c r="AZ44"/>
      <c r="BA44"/>
      <c r="BB44"/>
      <c r="BC44"/>
      <c r="BD44"/>
      <c r="BE44"/>
    </row>
    <row r="45" spans="2:57" ht="27" customHeight="1" thickBot="1" x14ac:dyDescent="0.25">
      <c r="B45" s="398">
        <f t="shared" si="0"/>
        <v>35</v>
      </c>
      <c r="C45" s="591" t="s">
        <v>63</v>
      </c>
      <c r="D45" s="591" t="s">
        <v>88</v>
      </c>
      <c r="E45" s="586">
        <v>110.56</v>
      </c>
      <c r="F45" s="587">
        <v>2.75</v>
      </c>
      <c r="G45" s="596">
        <v>109.6</v>
      </c>
      <c r="H45" s="596">
        <v>1.393</v>
      </c>
      <c r="I45" s="594">
        <v>110.55</v>
      </c>
      <c r="J45" s="803">
        <v>2.7310267800000001</v>
      </c>
      <c r="K45" s="589" t="s">
        <v>203</v>
      </c>
      <c r="L45" s="590">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71" t="s">
        <v>149</v>
      </c>
      <c r="AC45" s="694">
        <f t="shared" ref="AC45:AN45" si="14">IF(AR58&gt;0,AR58,0)</f>
        <v>0</v>
      </c>
      <c r="AD45" s="695">
        <f t="shared" si="14"/>
        <v>0</v>
      </c>
      <c r="AE45" s="695">
        <f t="shared" si="14"/>
        <v>0</v>
      </c>
      <c r="AF45" s="695">
        <f t="shared" si="14"/>
        <v>0</v>
      </c>
      <c r="AG45" s="695">
        <f t="shared" si="14"/>
        <v>0</v>
      </c>
      <c r="AH45" s="695">
        <f t="shared" si="14"/>
        <v>0</v>
      </c>
      <c r="AI45" s="695">
        <f t="shared" si="14"/>
        <v>0</v>
      </c>
      <c r="AJ45" s="695">
        <f t="shared" si="14"/>
        <v>0</v>
      </c>
      <c r="AK45" s="695">
        <f t="shared" si="14"/>
        <v>0</v>
      </c>
      <c r="AL45" s="695">
        <f t="shared" si="14"/>
        <v>0</v>
      </c>
      <c r="AM45" s="695">
        <f t="shared" si="14"/>
        <v>0</v>
      </c>
      <c r="AN45" s="698">
        <f t="shared" si="14"/>
        <v>0</v>
      </c>
      <c r="AO45" s="672"/>
      <c r="AP45" s="363"/>
      <c r="AQ45"/>
      <c r="AR45"/>
      <c r="AS45"/>
      <c r="AT45" s="318"/>
      <c r="AU45"/>
      <c r="AV45"/>
      <c r="AW45"/>
      <c r="AX45"/>
      <c r="AY45"/>
      <c r="AZ45"/>
      <c r="BA45"/>
      <c r="BB45"/>
      <c r="BC45"/>
      <c r="BD45"/>
      <c r="BE45"/>
    </row>
    <row r="46" spans="2:57" ht="27" customHeight="1" thickBot="1" x14ac:dyDescent="0.25">
      <c r="B46" s="398">
        <v>36</v>
      </c>
      <c r="C46" s="591" t="s">
        <v>64</v>
      </c>
      <c r="D46" s="591" t="s">
        <v>89</v>
      </c>
      <c r="E46" s="586">
        <v>72</v>
      </c>
      <c r="F46" s="587">
        <v>38.036000000000001</v>
      </c>
      <c r="G46" s="586">
        <v>67</v>
      </c>
      <c r="H46" s="587">
        <v>26.411000000000001</v>
      </c>
      <c r="I46" s="594">
        <v>70.099999999999994</v>
      </c>
      <c r="J46" s="806">
        <v>33.387</v>
      </c>
      <c r="K46" s="589" t="s">
        <v>64</v>
      </c>
      <c r="L46" s="590">
        <f t="shared" si="2"/>
        <v>0</v>
      </c>
      <c r="M46" s="224"/>
      <c r="O46" s="225"/>
      <c r="P46" s="225"/>
      <c r="Q46" s="225"/>
      <c r="R46" s="220"/>
      <c r="S46" s="225"/>
      <c r="T46" s="225"/>
      <c r="U46" s="225"/>
      <c r="V46" s="225"/>
      <c r="W46" s="225"/>
      <c r="X46" s="225"/>
      <c r="Y46" s="225"/>
      <c r="Z46" s="225"/>
      <c r="AB46" s="672"/>
      <c r="AC46" s="700"/>
      <c r="AD46" s="700"/>
      <c r="AE46" s="700"/>
      <c r="AF46" s="701"/>
      <c r="AG46" s="700"/>
      <c r="AH46" s="700"/>
      <c r="AI46" s="700"/>
      <c r="AJ46" s="700"/>
      <c r="AK46" s="700"/>
      <c r="AL46" s="700"/>
      <c r="AM46" s="700"/>
      <c r="AN46" s="700"/>
      <c r="AO46" s="672"/>
      <c r="AP46" s="363"/>
      <c r="AQ46"/>
      <c r="AR46"/>
      <c r="AS46"/>
      <c r="AT46" s="318"/>
      <c r="AU46"/>
      <c r="AV46"/>
      <c r="AW46"/>
      <c r="AX46"/>
      <c r="AY46"/>
      <c r="AZ46"/>
      <c r="BA46"/>
      <c r="BB46"/>
      <c r="BC46"/>
      <c r="BD46"/>
      <c r="BE46"/>
    </row>
    <row r="47" spans="2:57" ht="27" customHeight="1" x14ac:dyDescent="0.2">
      <c r="B47" s="398">
        <f t="shared" si="0"/>
        <v>37</v>
      </c>
      <c r="C47" s="591" t="s">
        <v>65</v>
      </c>
      <c r="D47" s="591" t="s">
        <v>89</v>
      </c>
      <c r="E47" s="586">
        <v>185</v>
      </c>
      <c r="F47" s="587">
        <v>388.72199999999998</v>
      </c>
      <c r="G47" s="594">
        <v>175.5</v>
      </c>
      <c r="H47" s="595">
        <v>294.71899999999999</v>
      </c>
      <c r="I47" s="594">
        <v>174.4</v>
      </c>
      <c r="J47" s="806">
        <v>284.452</v>
      </c>
      <c r="K47" s="589" t="s">
        <v>204</v>
      </c>
      <c r="L47" s="590">
        <f t="shared" si="2"/>
        <v>0</v>
      </c>
      <c r="M47" s="224"/>
      <c r="AB47" s="702"/>
      <c r="AC47" s="703"/>
      <c r="AD47" s="703"/>
      <c r="AE47" s="703"/>
      <c r="AF47" s="703"/>
      <c r="AG47" s="703"/>
      <c r="AH47" s="703"/>
      <c r="AI47" s="703"/>
      <c r="AJ47" s="703"/>
      <c r="AK47" s="703"/>
      <c r="AL47" s="703"/>
      <c r="AM47" s="703"/>
      <c r="AN47" s="703"/>
      <c r="AO47" s="704"/>
      <c r="AP47" s="363"/>
      <c r="AQ47"/>
      <c r="AR47"/>
      <c r="AS47"/>
      <c r="AT47"/>
      <c r="AU47"/>
      <c r="AV47"/>
      <c r="AW47"/>
      <c r="AX47"/>
      <c r="AY47"/>
      <c r="AZ47"/>
      <c r="BA47"/>
      <c r="BB47"/>
      <c r="BC47"/>
      <c r="BD47"/>
      <c r="BE47"/>
    </row>
    <row r="48" spans="2:57" ht="27" customHeight="1" x14ac:dyDescent="0.2">
      <c r="B48" s="398">
        <v>38</v>
      </c>
      <c r="C48" s="591" t="s">
        <v>66</v>
      </c>
      <c r="D48" s="591" t="s">
        <v>90</v>
      </c>
      <c r="E48" s="586">
        <v>231</v>
      </c>
      <c r="F48" s="587">
        <v>23.24</v>
      </c>
      <c r="G48" s="594">
        <v>228.77</v>
      </c>
      <c r="H48" s="595">
        <v>6.1959999999999997</v>
      </c>
      <c r="I48" s="594">
        <v>229.84</v>
      </c>
      <c r="J48" s="806">
        <v>11.25</v>
      </c>
      <c r="K48" s="589" t="s">
        <v>205</v>
      </c>
      <c r="L48" s="590">
        <f>IF(J48=0,"Waduk Kosong",)</f>
        <v>0</v>
      </c>
      <c r="M48" s="521"/>
      <c r="N48" s="520"/>
      <c r="AB48" s="837" t="s">
        <v>307</v>
      </c>
      <c r="AC48" s="838"/>
      <c r="AD48" s="838"/>
      <c r="AE48" s="838"/>
      <c r="AF48" s="838"/>
      <c r="AG48" s="838"/>
      <c r="AH48" s="838"/>
      <c r="AI48" s="838"/>
      <c r="AJ48" s="838"/>
      <c r="AK48" s="838"/>
      <c r="AL48" s="838"/>
      <c r="AM48" s="838"/>
      <c r="AN48" s="838"/>
      <c r="AO48" s="705"/>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x14ac:dyDescent="0.2">
      <c r="B49" s="395">
        <v>39</v>
      </c>
      <c r="C49" s="585" t="s">
        <v>230</v>
      </c>
      <c r="D49" s="585" t="s">
        <v>78</v>
      </c>
      <c r="E49" s="592">
        <v>149.30000000000001</v>
      </c>
      <c r="F49" s="593">
        <v>17.670000000000002</v>
      </c>
      <c r="G49" s="592">
        <v>149.30000000000001</v>
      </c>
      <c r="H49" s="593">
        <v>10.92</v>
      </c>
      <c r="I49" s="592">
        <v>149.505</v>
      </c>
      <c r="J49" s="815">
        <v>11.13</v>
      </c>
      <c r="K49" s="589" t="s">
        <v>233</v>
      </c>
      <c r="L49" s="590">
        <f>IF(J49=0,"Waduk Kosong",)</f>
        <v>0</v>
      </c>
      <c r="M49" s="224"/>
      <c r="AB49" s="706"/>
      <c r="AC49" s="707"/>
      <c r="AD49" s="707"/>
      <c r="AE49" s="707"/>
      <c r="AF49" s="707"/>
      <c r="AG49" s="707"/>
      <c r="AH49" s="707"/>
      <c r="AI49" s="707"/>
      <c r="AJ49" s="707"/>
      <c r="AK49" s="707"/>
      <c r="AL49" s="707"/>
      <c r="AM49" s="707"/>
      <c r="AN49" s="707"/>
      <c r="AO49" s="705"/>
      <c r="AP49" s="365">
        <f>MAX(AC7:AN37)</f>
        <v>1346.29</v>
      </c>
      <c r="AQ49"/>
      <c r="AR49">
        <v>31</v>
      </c>
      <c r="AS49">
        <v>28</v>
      </c>
      <c r="AT49">
        <v>31</v>
      </c>
      <c r="AU49">
        <v>30</v>
      </c>
      <c r="AV49">
        <v>31</v>
      </c>
      <c r="AW49">
        <v>30</v>
      </c>
      <c r="AX49">
        <v>31</v>
      </c>
      <c r="AY49">
        <v>31</v>
      </c>
      <c r="AZ49">
        <v>30</v>
      </c>
      <c r="BA49">
        <v>31</v>
      </c>
      <c r="BB49">
        <v>30</v>
      </c>
      <c r="BC49">
        <v>31</v>
      </c>
      <c r="BD49"/>
      <c r="BE49"/>
    </row>
    <row r="50" spans="2:57" ht="27" customHeight="1" x14ac:dyDescent="0.2">
      <c r="B50" s="398">
        <f>+B49+1</f>
        <v>40</v>
      </c>
      <c r="C50" s="591" t="s">
        <v>231</v>
      </c>
      <c r="D50" s="591" t="s">
        <v>82</v>
      </c>
      <c r="E50" s="586">
        <v>39</v>
      </c>
      <c r="F50" s="587">
        <v>0.47399999999999998</v>
      </c>
      <c r="G50" s="586">
        <v>38.549999999999997</v>
      </c>
      <c r="H50" s="587">
        <v>0.34</v>
      </c>
      <c r="I50" s="794">
        <v>39</v>
      </c>
      <c r="J50" s="818">
        <v>0.47</v>
      </c>
      <c r="K50" s="589"/>
      <c r="L50" s="590">
        <f>IF(J50=0,"Waduk Kosong",)</f>
        <v>0</v>
      </c>
      <c r="M50" s="224"/>
      <c r="AB50" s="706"/>
      <c r="AC50" s="707"/>
      <c r="AD50" s="707"/>
      <c r="AE50" s="707"/>
      <c r="AF50" s="707"/>
      <c r="AG50" s="707"/>
      <c r="AH50" s="707"/>
      <c r="AI50" s="707"/>
      <c r="AJ50" s="707"/>
      <c r="AK50" s="707"/>
      <c r="AL50" s="707"/>
      <c r="AM50" s="707"/>
      <c r="AN50" s="707"/>
      <c r="AO50" s="705"/>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x14ac:dyDescent="0.25">
      <c r="B51" s="400">
        <v>41</v>
      </c>
      <c r="C51" s="605" t="s">
        <v>232</v>
      </c>
      <c r="D51" s="605" t="s">
        <v>82</v>
      </c>
      <c r="E51" s="606">
        <v>70</v>
      </c>
      <c r="F51" s="607">
        <v>0.81699999999999995</v>
      </c>
      <c r="G51" s="606">
        <v>69.900000000000006</v>
      </c>
      <c r="H51" s="607">
        <v>0.8</v>
      </c>
      <c r="I51" s="795">
        <v>70</v>
      </c>
      <c r="J51" s="819">
        <v>0.74399999999999999</v>
      </c>
      <c r="K51" s="589"/>
      <c r="L51" s="721">
        <f>IF(J51=0,"Waduk Kosong",)</f>
        <v>0</v>
      </c>
      <c r="M51" s="224"/>
      <c r="AB51" s="706"/>
      <c r="AC51" s="707"/>
      <c r="AD51" s="707"/>
      <c r="AE51" s="707"/>
      <c r="AF51" s="707"/>
      <c r="AG51" s="707"/>
      <c r="AH51" s="707"/>
      <c r="AI51" s="707"/>
      <c r="AJ51" s="707"/>
      <c r="AK51" s="707"/>
      <c r="AL51" s="707"/>
      <c r="AM51" s="707"/>
      <c r="AN51" s="707"/>
      <c r="AO51" s="705"/>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x14ac:dyDescent="0.25">
      <c r="B52" s="393"/>
      <c r="C52" s="583" t="s">
        <v>67</v>
      </c>
      <c r="D52" s="583"/>
      <c r="E52" s="608"/>
      <c r="F52" s="609">
        <f>SUM(F11:F51)</f>
        <v>1806.642478</v>
      </c>
      <c r="G52" s="608"/>
      <c r="H52" s="609">
        <f>SUM(H11:H51)</f>
        <v>1453.0739369999997</v>
      </c>
      <c r="I52" s="608"/>
      <c r="J52" s="610">
        <f>SUM(J11:J51)</f>
        <v>1346.294825471565</v>
      </c>
      <c r="K52" s="611"/>
      <c r="L52" s="612"/>
      <c r="M52" s="224"/>
      <c r="AB52" s="706"/>
      <c r="AC52" s="707"/>
      <c r="AD52" s="707"/>
      <c r="AE52" s="707"/>
      <c r="AF52" s="707"/>
      <c r="AG52" s="707"/>
      <c r="AH52" s="707"/>
      <c r="AI52" s="707"/>
      <c r="AJ52" s="707"/>
      <c r="AK52" s="707"/>
      <c r="AL52" s="707"/>
      <c r="AM52" s="707"/>
      <c r="AN52" s="707"/>
      <c r="AO52" s="705"/>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x14ac:dyDescent="0.25">
      <c r="B53" s="403" t="s">
        <v>68</v>
      </c>
      <c r="C53" s="613" t="s">
        <v>69</v>
      </c>
      <c r="D53" s="613"/>
      <c r="E53" s="614"/>
      <c r="F53" s="615"/>
      <c r="G53" s="616"/>
      <c r="H53" s="617">
        <v>1</v>
      </c>
      <c r="I53" s="614"/>
      <c r="J53" s="618">
        <f>IFERROR(+J52/H52,0)</f>
        <v>0.92651501839686856</v>
      </c>
      <c r="K53" s="619"/>
      <c r="L53" s="620"/>
      <c r="M53" s="224"/>
      <c r="AB53" s="706"/>
      <c r="AC53" s="707"/>
      <c r="AD53" s="707"/>
      <c r="AE53" s="707"/>
      <c r="AF53" s="707"/>
      <c r="AG53" s="707"/>
      <c r="AH53" s="707"/>
      <c r="AI53" s="707"/>
      <c r="AJ53" s="707"/>
      <c r="AK53" s="707"/>
      <c r="AL53" s="707"/>
      <c r="AM53" s="707"/>
      <c r="AN53" s="707"/>
      <c r="AO53" s="705"/>
      <c r="AP53" s="367"/>
      <c r="AQ53"/>
      <c r="AR53"/>
      <c r="AS53"/>
      <c r="AT53"/>
      <c r="AU53"/>
      <c r="AV53"/>
      <c r="AW53"/>
      <c r="AX53"/>
      <c r="AY53"/>
      <c r="AZ53"/>
      <c r="BA53"/>
      <c r="BB53"/>
      <c r="BC53"/>
      <c r="BD53"/>
      <c r="BE53"/>
    </row>
    <row r="54" spans="2:57" ht="27" customHeight="1" thickBot="1" x14ac:dyDescent="0.35">
      <c r="B54" s="406"/>
      <c r="C54" s="584" t="s">
        <v>234</v>
      </c>
      <c r="D54" s="584"/>
      <c r="E54" s="621">
        <f>'RINCI 1'!E18</f>
        <v>1726.8225980000002</v>
      </c>
      <c r="F54" s="858">
        <v>1</v>
      </c>
      <c r="G54" s="858">
        <f>+H52/F52*100%</f>
        <v>0.80429523532989777</v>
      </c>
      <c r="H54" s="858"/>
      <c r="I54" s="859">
        <f>+J52/F52</f>
        <v>0.74519161475819407</v>
      </c>
      <c r="J54" s="859"/>
      <c r="K54" s="860"/>
      <c r="L54" s="860"/>
      <c r="M54" s="224"/>
      <c r="AB54" s="706"/>
      <c r="AC54" s="707"/>
      <c r="AD54" s="707"/>
      <c r="AE54" s="707"/>
      <c r="AF54" s="707"/>
      <c r="AG54" s="707"/>
      <c r="AH54" s="707"/>
      <c r="AI54" s="707"/>
      <c r="AJ54" s="707"/>
      <c r="AK54" s="707"/>
      <c r="AL54" s="707"/>
      <c r="AM54" s="707"/>
      <c r="AN54" s="707"/>
      <c r="AO54" s="705"/>
      <c r="AP54" s="367"/>
      <c r="AQ54"/>
      <c r="AR54"/>
      <c r="AS54"/>
      <c r="AT54"/>
      <c r="AU54"/>
      <c r="AV54"/>
      <c r="AW54"/>
      <c r="AX54"/>
      <c r="AY54"/>
      <c r="AZ54"/>
      <c r="BA54"/>
      <c r="BB54"/>
      <c r="BC54"/>
      <c r="BD54"/>
      <c r="BE54"/>
    </row>
    <row r="55" spans="2:57" ht="27" customHeight="1" thickBot="1" x14ac:dyDescent="0.25">
      <c r="B55" s="406"/>
      <c r="C55" s="584" t="s">
        <v>235</v>
      </c>
      <c r="D55" s="584"/>
      <c r="E55" s="622">
        <f>F52-E54</f>
        <v>79.819879999999785</v>
      </c>
      <c r="F55" s="858"/>
      <c r="G55" s="858"/>
      <c r="H55" s="858"/>
      <c r="I55" s="859"/>
      <c r="J55" s="859"/>
      <c r="K55" s="860"/>
      <c r="L55" s="860"/>
      <c r="M55" s="218"/>
      <c r="AB55" s="706"/>
      <c r="AC55" s="707"/>
      <c r="AD55" s="707"/>
      <c r="AE55" s="707"/>
      <c r="AF55" s="707"/>
      <c r="AG55" s="707"/>
      <c r="AH55" s="707"/>
      <c r="AI55" s="707"/>
      <c r="AJ55" s="707"/>
      <c r="AK55" s="707"/>
      <c r="AL55" s="707"/>
      <c r="AM55" s="707"/>
      <c r="AN55" s="707"/>
      <c r="AO55" s="705"/>
      <c r="AP55" s="367"/>
      <c r="AQ55"/>
      <c r="AR55"/>
      <c r="AS55"/>
      <c r="AT55"/>
      <c r="AU55"/>
      <c r="AV55"/>
      <c r="AW55"/>
      <c r="AX55"/>
      <c r="AY55"/>
      <c r="AZ55"/>
      <c r="BA55"/>
      <c r="BB55"/>
      <c r="BC55"/>
      <c r="BD55"/>
      <c r="BE55"/>
    </row>
    <row r="56" spans="2:57" ht="27" customHeight="1" thickBot="1" x14ac:dyDescent="0.25">
      <c r="B56" s="355"/>
      <c r="C56" s="355"/>
      <c r="D56" s="412"/>
      <c r="E56" s="355"/>
      <c r="F56" s="355"/>
      <c r="G56" s="413"/>
      <c r="H56" s="410"/>
      <c r="I56" s="355"/>
      <c r="J56" s="356"/>
      <c r="K56" s="356"/>
      <c r="L56" s="356"/>
      <c r="M56" s="226"/>
      <c r="AB56" s="706"/>
      <c r="AC56" s="707"/>
      <c r="AD56" s="707"/>
      <c r="AE56" s="707"/>
      <c r="AF56" s="707"/>
      <c r="AG56" s="707"/>
      <c r="AH56" s="707"/>
      <c r="AI56" s="707"/>
      <c r="AJ56" s="707"/>
      <c r="AK56" s="707"/>
      <c r="AL56" s="707"/>
      <c r="AM56" s="707"/>
      <c r="AN56" s="707"/>
      <c r="AO56" s="705"/>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x14ac:dyDescent="0.25">
      <c r="B57" s="390"/>
      <c r="C57" s="350"/>
      <c r="D57" s="350"/>
      <c r="E57" s="350"/>
      <c r="F57" s="391">
        <v>10</v>
      </c>
      <c r="G57" s="392" t="s">
        <v>6</v>
      </c>
      <c r="H57" s="581">
        <v>2020</v>
      </c>
      <c r="I57" s="350"/>
      <c r="J57" s="350"/>
      <c r="K57" s="414"/>
      <c r="L57" s="415"/>
      <c r="M57" s="226"/>
      <c r="Y57" s="216" t="s">
        <v>302</v>
      </c>
      <c r="AB57" s="706"/>
      <c r="AC57" s="707"/>
      <c r="AD57" s="707"/>
      <c r="AE57" s="707"/>
      <c r="AF57" s="707"/>
      <c r="AG57" s="707"/>
      <c r="AH57" s="707"/>
      <c r="AI57" s="707"/>
      <c r="AJ57" s="707"/>
      <c r="AK57" s="707"/>
      <c r="AL57" s="707"/>
      <c r="AM57" s="707"/>
      <c r="AN57" s="707"/>
      <c r="AO57" s="705"/>
      <c r="AP57" s="367">
        <f>COUNT(AC44:AN44)</f>
        <v>12</v>
      </c>
      <c r="AQ57" s="318" t="s">
        <v>217</v>
      </c>
      <c r="AR57" s="318">
        <f t="shared" ref="AR57:BC57" si="17">COUNT(AC22:AC37)</f>
        <v>16</v>
      </c>
      <c r="AS57" s="318">
        <f t="shared" si="17"/>
        <v>14</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x14ac:dyDescent="0.2">
      <c r="B58" s="512" t="s">
        <v>18</v>
      </c>
      <c r="C58" s="515" t="s">
        <v>19</v>
      </c>
      <c r="D58" s="515" t="s">
        <v>75</v>
      </c>
      <c r="E58" s="827" t="s">
        <v>20</v>
      </c>
      <c r="F58" s="828"/>
      <c r="G58" s="827" t="s">
        <v>96</v>
      </c>
      <c r="H58" s="828"/>
      <c r="I58" s="827" t="s">
        <v>22</v>
      </c>
      <c r="J58" s="828"/>
      <c r="K58" s="509" t="s">
        <v>168</v>
      </c>
      <c r="L58" s="416"/>
      <c r="M58" s="226"/>
      <c r="AB58" s="706"/>
      <c r="AC58" s="707"/>
      <c r="AD58" s="707"/>
      <c r="AE58" s="707"/>
      <c r="AF58" s="707"/>
      <c r="AG58" s="707"/>
      <c r="AH58" s="707"/>
      <c r="AI58" s="707"/>
      <c r="AJ58" s="707"/>
      <c r="AK58" s="707"/>
      <c r="AL58" s="707"/>
      <c r="AM58" s="707"/>
      <c r="AN58" s="707"/>
      <c r="AO58" s="705"/>
      <c r="AP58" s="363"/>
      <c r="AQ58" t="s">
        <v>218</v>
      </c>
      <c r="AR58">
        <f t="shared" ref="AR58:BC58" si="18">AR56-AR57</f>
        <v>0</v>
      </c>
      <c r="AS58">
        <f t="shared" si="18"/>
        <v>-1</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x14ac:dyDescent="0.2">
      <c r="B59" s="513"/>
      <c r="C59" s="516"/>
      <c r="D59" s="516"/>
      <c r="E59" s="352" t="s">
        <v>24</v>
      </c>
      <c r="F59" s="352" t="s">
        <v>25</v>
      </c>
      <c r="G59" s="351" t="s">
        <v>24</v>
      </c>
      <c r="H59" s="352" t="s">
        <v>25</v>
      </c>
      <c r="I59" s="351" t="s">
        <v>24</v>
      </c>
      <c r="J59" s="352" t="s">
        <v>25</v>
      </c>
      <c r="K59" s="510"/>
      <c r="L59" s="416"/>
      <c r="M59" s="226"/>
      <c r="AB59" s="706"/>
      <c r="AC59" s="707"/>
      <c r="AD59" s="707"/>
      <c r="AE59" s="707"/>
      <c r="AF59" s="707"/>
      <c r="AG59" s="707"/>
      <c r="AH59" s="707"/>
      <c r="AI59" s="707"/>
      <c r="AJ59" s="707"/>
      <c r="AK59" s="707"/>
      <c r="AL59" s="707"/>
      <c r="AM59" s="707"/>
      <c r="AN59" s="707"/>
      <c r="AO59" s="705"/>
      <c r="AP59" s="363"/>
      <c r="AQ59"/>
      <c r="AR59"/>
      <c r="AS59"/>
      <c r="AT59"/>
      <c r="AU59"/>
      <c r="AV59"/>
      <c r="AW59"/>
      <c r="AX59"/>
      <c r="AY59"/>
      <c r="AZ59"/>
      <c r="BA59"/>
      <c r="BB59"/>
      <c r="BC59"/>
      <c r="BD59"/>
      <c r="BE59"/>
    </row>
    <row r="60" spans="2:57" ht="27" customHeight="1" thickBot="1" x14ac:dyDescent="0.25">
      <c r="B60" s="514"/>
      <c r="C60" s="517"/>
      <c r="D60" s="517"/>
      <c r="E60" s="354" t="s">
        <v>26</v>
      </c>
      <c r="F60" s="354" t="s">
        <v>157</v>
      </c>
      <c r="G60" s="353" t="s">
        <v>26</v>
      </c>
      <c r="H60" s="354" t="s">
        <v>157</v>
      </c>
      <c r="I60" s="353" t="s">
        <v>26</v>
      </c>
      <c r="J60" s="354" t="s">
        <v>157</v>
      </c>
      <c r="K60" s="511"/>
      <c r="L60" s="416"/>
      <c r="M60" s="226"/>
      <c r="AB60" s="706"/>
      <c r="AC60" s="707"/>
      <c r="AD60" s="707"/>
      <c r="AE60" s="707"/>
      <c r="AF60" s="707"/>
      <c r="AG60" s="707"/>
      <c r="AH60" s="707"/>
      <c r="AI60" s="707"/>
      <c r="AJ60" s="707"/>
      <c r="AK60" s="707"/>
      <c r="AL60" s="707"/>
      <c r="AM60" s="707"/>
      <c r="AN60" s="707"/>
      <c r="AO60" s="705"/>
      <c r="AP60" s="363"/>
      <c r="AQ60"/>
      <c r="AR60" s="368" t="s">
        <v>220</v>
      </c>
      <c r="AS60" s="369"/>
      <c r="AT60" s="370">
        <f>SUM(AC45:AN45)+SUM(AC43:AN43)</f>
        <v>0</v>
      </c>
      <c r="AU60" s="371" t="s">
        <v>221</v>
      </c>
      <c r="AV60"/>
      <c r="AW60"/>
      <c r="AX60"/>
      <c r="AY60"/>
      <c r="AZ60"/>
      <c r="BA60"/>
      <c r="BB60"/>
      <c r="BC60"/>
      <c r="BD60"/>
      <c r="BE60"/>
    </row>
    <row r="61" spans="2:57" ht="27" customHeight="1" thickBot="1" x14ac:dyDescent="0.25">
      <c r="B61" s="393">
        <v>1</v>
      </c>
      <c r="C61" s="394">
        <v>2</v>
      </c>
      <c r="D61" s="394">
        <v>3</v>
      </c>
      <c r="E61" s="394">
        <v>4</v>
      </c>
      <c r="F61" s="394">
        <v>5</v>
      </c>
      <c r="G61" s="394">
        <v>6</v>
      </c>
      <c r="H61" s="394">
        <v>7</v>
      </c>
      <c r="I61" s="394">
        <v>8</v>
      </c>
      <c r="J61" s="394">
        <v>9</v>
      </c>
      <c r="K61" s="417">
        <v>10</v>
      </c>
      <c r="L61" s="416"/>
      <c r="M61" s="224"/>
      <c r="AB61" s="706"/>
      <c r="AC61" s="707"/>
      <c r="AD61" s="707"/>
      <c r="AE61" s="707"/>
      <c r="AF61" s="707"/>
      <c r="AG61" s="707"/>
      <c r="AH61" s="707"/>
      <c r="AI61" s="707"/>
      <c r="AJ61" s="707"/>
      <c r="AK61" s="707"/>
      <c r="AL61" s="707"/>
      <c r="AM61" s="707"/>
      <c r="AN61" s="707"/>
      <c r="AO61" s="705"/>
      <c r="AP61" s="363"/>
      <c r="AQ61"/>
      <c r="AR61"/>
      <c r="AS61"/>
      <c r="AT61"/>
      <c r="AU61"/>
      <c r="AV61"/>
      <c r="AW61"/>
      <c r="AX61"/>
      <c r="AY61"/>
      <c r="AZ61"/>
      <c r="BA61"/>
      <c r="BB61"/>
      <c r="BC61"/>
      <c r="BD61"/>
      <c r="BE61"/>
    </row>
    <row r="62" spans="2:57" ht="27" customHeight="1" thickBot="1" x14ac:dyDescent="0.25">
      <c r="B62" s="395">
        <v>1</v>
      </c>
      <c r="C62" s="396" t="s">
        <v>28</v>
      </c>
      <c r="D62" s="396" t="s">
        <v>76</v>
      </c>
      <c r="E62" s="446">
        <v>55.77</v>
      </c>
      <c r="F62" s="421">
        <v>31.144597999999998</v>
      </c>
      <c r="G62" s="346">
        <v>53.24</v>
      </c>
      <c r="H62" s="346">
        <v>18.036000000000001</v>
      </c>
      <c r="I62" s="346">
        <v>55.6</v>
      </c>
      <c r="J62" s="799">
        <v>30.153400000000001</v>
      </c>
      <c r="K62" s="418" t="str">
        <f>IF(I62&gt;E62,"Limpas","")</f>
        <v/>
      </c>
      <c r="L62" s="521"/>
      <c r="M62" s="224"/>
      <c r="AB62" s="673"/>
      <c r="AC62" s="674"/>
      <c r="AD62" s="674"/>
      <c r="AE62" s="674"/>
      <c r="AF62" s="674"/>
      <c r="AG62" s="674"/>
      <c r="AH62" s="674"/>
      <c r="AI62" s="674"/>
      <c r="AJ62" s="674"/>
      <c r="AK62" s="674"/>
      <c r="AL62" s="674"/>
      <c r="AM62" s="674"/>
      <c r="AN62" s="674"/>
      <c r="AO62" s="675"/>
      <c r="AP62" s="363"/>
      <c r="AQ62"/>
      <c r="AR62" t="s">
        <v>222</v>
      </c>
      <c r="AS62"/>
      <c r="AT62"/>
      <c r="AU62"/>
      <c r="AV62"/>
      <c r="AW62"/>
      <c r="AX62" t="e">
        <f>+#REF!</f>
        <v>#REF!</v>
      </c>
      <c r="AY62" t="s">
        <v>223</v>
      </c>
      <c r="AZ62"/>
      <c r="BA62"/>
      <c r="BB62"/>
      <c r="BC62"/>
      <c r="BD62"/>
      <c r="BE62"/>
    </row>
    <row r="63" spans="2:57" ht="27" customHeight="1" x14ac:dyDescent="0.2">
      <c r="B63" s="398">
        <v>2</v>
      </c>
      <c r="C63" s="454" t="s">
        <v>29</v>
      </c>
      <c r="D63" s="454" t="s">
        <v>76</v>
      </c>
      <c r="E63" s="422">
        <v>339.5</v>
      </c>
      <c r="F63" s="449">
        <v>7.77</v>
      </c>
      <c r="G63" s="347">
        <v>338.77</v>
      </c>
      <c r="H63" s="399">
        <v>7.157</v>
      </c>
      <c r="I63" s="347">
        <v>338.97</v>
      </c>
      <c r="J63" s="800">
        <v>7.3220000000000001</v>
      </c>
      <c r="K63" s="418"/>
      <c r="L63" s="755"/>
      <c r="M63" s="542"/>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x14ac:dyDescent="0.2">
      <c r="B64" s="398">
        <f t="shared" ref="B64:B98" si="19">+B63+1</f>
        <v>3</v>
      </c>
      <c r="C64" s="454" t="s">
        <v>30</v>
      </c>
      <c r="D64" s="454" t="s">
        <v>77</v>
      </c>
      <c r="E64" s="446">
        <v>77.5</v>
      </c>
      <c r="F64" s="421">
        <v>49.02</v>
      </c>
      <c r="G64" s="347">
        <v>73.650000000000006</v>
      </c>
      <c r="H64" s="399">
        <v>27.367000000000001</v>
      </c>
      <c r="I64" s="347">
        <v>77.14</v>
      </c>
      <c r="J64" s="800">
        <v>46.701749999999997</v>
      </c>
      <c r="K64" s="418" t="str">
        <f>IF(I64&gt;E64,"Limpas","")</f>
        <v/>
      </c>
      <c r="L64" s="755"/>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x14ac:dyDescent="0.2">
      <c r="B65" s="398">
        <f t="shared" si="19"/>
        <v>4</v>
      </c>
      <c r="C65" s="454" t="s">
        <v>31</v>
      </c>
      <c r="D65" s="454" t="s">
        <v>78</v>
      </c>
      <c r="E65" s="446">
        <v>463.3</v>
      </c>
      <c r="F65" s="421">
        <v>49.9</v>
      </c>
      <c r="G65" s="445">
        <v>462.22</v>
      </c>
      <c r="H65" s="445">
        <v>27.992000000000001</v>
      </c>
      <c r="I65" s="787">
        <v>463.05</v>
      </c>
      <c r="J65" s="800">
        <v>49.573</v>
      </c>
      <c r="K65" s="418" t="str">
        <f>IF(I65&gt;E65,"Limpas","")</f>
        <v/>
      </c>
      <c r="L65" s="755"/>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x14ac:dyDescent="0.25">
      <c r="B66" s="398">
        <f t="shared" si="19"/>
        <v>5</v>
      </c>
      <c r="C66" s="454" t="s">
        <v>32</v>
      </c>
      <c r="D66" s="454" t="s">
        <v>79</v>
      </c>
      <c r="E66" s="446">
        <v>207</v>
      </c>
      <c r="F66" s="421">
        <v>9.5030000000000001</v>
      </c>
      <c r="G66" s="347">
        <v>197.74</v>
      </c>
      <c r="H66" s="348">
        <v>2.14</v>
      </c>
      <c r="I66" s="789">
        <v>207.01</v>
      </c>
      <c r="J66" s="799">
        <v>9.5169999999999995</v>
      </c>
      <c r="K66" s="418"/>
      <c r="L66" s="756"/>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x14ac:dyDescent="0.25">
      <c r="B67" s="398">
        <f t="shared" si="19"/>
        <v>6</v>
      </c>
      <c r="C67" s="454" t="s">
        <v>33</v>
      </c>
      <c r="D67" s="454" t="s">
        <v>79</v>
      </c>
      <c r="E67" s="446">
        <v>320</v>
      </c>
      <c r="F67" s="421">
        <v>5.1509999999999998</v>
      </c>
      <c r="G67" s="347">
        <v>308.7</v>
      </c>
      <c r="H67" s="348">
        <v>0.84</v>
      </c>
      <c r="I67" s="789">
        <v>320</v>
      </c>
      <c r="J67" s="799">
        <v>5.1509999999999998</v>
      </c>
      <c r="K67" s="418" t="str">
        <f>IF(I67&gt;E67,"Limpas","")</f>
        <v/>
      </c>
      <c r="L67" s="756"/>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x14ac:dyDescent="0.25">
      <c r="B68" s="398">
        <f t="shared" si="19"/>
        <v>7</v>
      </c>
      <c r="C68" s="454" t="s">
        <v>34</v>
      </c>
      <c r="D68" s="454" t="s">
        <v>80</v>
      </c>
      <c r="E68" s="446">
        <v>90</v>
      </c>
      <c r="F68" s="421">
        <v>689.09100000000001</v>
      </c>
      <c r="G68" s="347">
        <v>78.88</v>
      </c>
      <c r="H68" s="347">
        <v>258.74799999999999</v>
      </c>
      <c r="I68" s="789">
        <v>84.83</v>
      </c>
      <c r="J68" s="800">
        <v>453.98986546604823</v>
      </c>
      <c r="K68" s="418" t="str">
        <f>IF(I68&gt;E68,"Limpas","")</f>
        <v/>
      </c>
      <c r="L68" s="756"/>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x14ac:dyDescent="0.2">
      <c r="B69" s="398">
        <f t="shared" si="19"/>
        <v>8</v>
      </c>
      <c r="C69" s="454" t="s">
        <v>35</v>
      </c>
      <c r="D69" s="454" t="s">
        <v>81</v>
      </c>
      <c r="E69" s="446">
        <v>120.5</v>
      </c>
      <c r="F69" s="421">
        <v>2.0920000000000001</v>
      </c>
      <c r="G69" s="347">
        <v>115.4</v>
      </c>
      <c r="H69" s="399">
        <v>0.39</v>
      </c>
      <c r="I69" s="447">
        <v>119.34</v>
      </c>
      <c r="J69" s="799">
        <v>1.3080000000000001</v>
      </c>
      <c r="K69" s="418" t="str">
        <f>IF(I69&gt;E69,"Limpas","")</f>
        <v/>
      </c>
      <c r="L69" s="756"/>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x14ac:dyDescent="0.25">
      <c r="B70" s="398">
        <f t="shared" si="19"/>
        <v>9</v>
      </c>
      <c r="C70" s="454" t="s">
        <v>36</v>
      </c>
      <c r="D70" s="454" t="s">
        <v>81</v>
      </c>
      <c r="E70" s="446">
        <v>120.8</v>
      </c>
      <c r="F70" s="421">
        <v>2.3530000000000002</v>
      </c>
      <c r="G70" s="347">
        <v>115.901</v>
      </c>
      <c r="H70" s="399">
        <v>0.42</v>
      </c>
      <c r="I70" s="789">
        <v>117.84</v>
      </c>
      <c r="J70" s="799">
        <v>0.66500000000000004</v>
      </c>
      <c r="K70" s="418" t="str">
        <f>IF(I70&gt;E70,"Limpas","")</f>
        <v/>
      </c>
      <c r="L70" s="756"/>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x14ac:dyDescent="0.25">
      <c r="B71" s="398">
        <f t="shared" si="19"/>
        <v>10</v>
      </c>
      <c r="C71" s="454" t="s">
        <v>37</v>
      </c>
      <c r="D71" s="454" t="s">
        <v>82</v>
      </c>
      <c r="E71" s="446">
        <v>46.5</v>
      </c>
      <c r="F71" s="446">
        <v>4.5999999999999996</v>
      </c>
      <c r="G71" s="347">
        <v>38.450000000000003</v>
      </c>
      <c r="H71" s="347">
        <v>0.41</v>
      </c>
      <c r="I71" s="789">
        <v>40.869999999999997</v>
      </c>
      <c r="J71" s="799">
        <v>0.79100000000000004</v>
      </c>
      <c r="K71" s="418" t="str">
        <f>IF(I71&gt;E71,"Limpas","")</f>
        <v/>
      </c>
      <c r="L71" s="757"/>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x14ac:dyDescent="0.25">
      <c r="B72" s="398">
        <f t="shared" si="19"/>
        <v>11</v>
      </c>
      <c r="C72" s="454" t="s">
        <v>39</v>
      </c>
      <c r="D72" s="454" t="s">
        <v>82</v>
      </c>
      <c r="E72" s="446">
        <v>51.5</v>
      </c>
      <c r="F72" s="421">
        <v>2.4159999999999999</v>
      </c>
      <c r="G72" s="347">
        <v>47.39</v>
      </c>
      <c r="H72" s="347">
        <v>1.06</v>
      </c>
      <c r="I72" s="790">
        <v>51.43</v>
      </c>
      <c r="J72" s="799">
        <v>2.548</v>
      </c>
      <c r="K72" s="418" t="str">
        <f t="shared" ref="K72:K98" si="23">IF(I72&gt;E72,"Limpas","")</f>
        <v/>
      </c>
      <c r="L72" s="756"/>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x14ac:dyDescent="0.25">
      <c r="B73" s="398">
        <f t="shared" si="19"/>
        <v>12</v>
      </c>
      <c r="C73" s="454" t="s">
        <v>40</v>
      </c>
      <c r="D73" s="454" t="s">
        <v>80</v>
      </c>
      <c r="E73" s="446">
        <v>81</v>
      </c>
      <c r="F73" s="421">
        <v>1.093</v>
      </c>
      <c r="G73" s="347">
        <v>76.08</v>
      </c>
      <c r="H73" s="399">
        <v>0.38</v>
      </c>
      <c r="I73" s="789">
        <v>74.91</v>
      </c>
      <c r="J73" s="799">
        <v>0.30199999999999999</v>
      </c>
      <c r="K73" s="418" t="str">
        <f t="shared" si="23"/>
        <v/>
      </c>
      <c r="L73" s="756"/>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x14ac:dyDescent="0.25">
      <c r="B74" s="398">
        <f t="shared" si="19"/>
        <v>13</v>
      </c>
      <c r="C74" s="454" t="s">
        <v>41</v>
      </c>
      <c r="D74" s="454" t="s">
        <v>80</v>
      </c>
      <c r="E74" s="446">
        <v>82.8</v>
      </c>
      <c r="F74" s="421">
        <v>0.42899999999999999</v>
      </c>
      <c r="G74" s="347">
        <v>81.319999999999993</v>
      </c>
      <c r="H74" s="399">
        <v>0.22</v>
      </c>
      <c r="I74" s="789">
        <v>78</v>
      </c>
      <c r="J74" s="799">
        <v>0</v>
      </c>
      <c r="K74" s="418" t="str">
        <f t="shared" si="23"/>
        <v/>
      </c>
      <c r="L74" s="756"/>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x14ac:dyDescent="0.25">
      <c r="B75" s="398">
        <f t="shared" si="19"/>
        <v>14</v>
      </c>
      <c r="C75" s="454" t="s">
        <v>42</v>
      </c>
      <c r="D75" s="454" t="s">
        <v>80</v>
      </c>
      <c r="E75" s="446">
        <v>69.95</v>
      </c>
      <c r="F75" s="421">
        <v>0.25</v>
      </c>
      <c r="G75" s="347">
        <v>68.92</v>
      </c>
      <c r="H75" s="347">
        <v>0.12</v>
      </c>
      <c r="I75" s="789">
        <v>62.83</v>
      </c>
      <c r="J75" s="799">
        <v>0.128</v>
      </c>
      <c r="K75" s="418" t="str">
        <f t="shared" si="23"/>
        <v/>
      </c>
      <c r="L75" s="756"/>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x14ac:dyDescent="0.25">
      <c r="B76" s="398">
        <f t="shared" si="19"/>
        <v>15</v>
      </c>
      <c r="C76" s="454" t="s">
        <v>43</v>
      </c>
      <c r="D76" s="454" t="s">
        <v>80</v>
      </c>
      <c r="E76" s="446">
        <v>48.2</v>
      </c>
      <c r="F76" s="421">
        <v>0.38500000000000001</v>
      </c>
      <c r="G76" s="347">
        <v>44.96</v>
      </c>
      <c r="H76" s="399">
        <v>0.03</v>
      </c>
      <c r="I76" s="789">
        <v>46.88</v>
      </c>
      <c r="J76" s="799">
        <v>0.378</v>
      </c>
      <c r="K76" s="418" t="str">
        <f t="shared" si="23"/>
        <v/>
      </c>
      <c r="L76" s="756"/>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x14ac:dyDescent="0.2">
      <c r="B77" s="398">
        <f t="shared" si="19"/>
        <v>16</v>
      </c>
      <c r="C77" s="454" t="s">
        <v>83</v>
      </c>
      <c r="D77" s="454" t="s">
        <v>44</v>
      </c>
      <c r="E77" s="446">
        <v>136</v>
      </c>
      <c r="F77" s="421">
        <v>440</v>
      </c>
      <c r="G77" s="347">
        <v>127.3</v>
      </c>
      <c r="H77" s="347">
        <v>64.974000000000004</v>
      </c>
      <c r="I77" s="347">
        <v>135.87</v>
      </c>
      <c r="J77" s="807">
        <v>359.11721927000002</v>
      </c>
      <c r="K77" s="418" t="str">
        <f t="shared" si="23"/>
        <v/>
      </c>
      <c r="L77" s="756"/>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x14ac:dyDescent="0.2">
      <c r="B78" s="398">
        <f t="shared" si="19"/>
        <v>17</v>
      </c>
      <c r="C78" s="454" t="s">
        <v>45</v>
      </c>
      <c r="D78" s="454" t="s">
        <v>44</v>
      </c>
      <c r="E78" s="446">
        <v>113.5</v>
      </c>
      <c r="F78" s="421">
        <v>3.7519999999999998</v>
      </c>
      <c r="G78" s="347">
        <v>104.42</v>
      </c>
      <c r="H78" s="347">
        <v>0.54500000000000004</v>
      </c>
      <c r="I78" s="348">
        <v>112.37</v>
      </c>
      <c r="J78" s="807">
        <v>0.40745182000000002</v>
      </c>
      <c r="K78" s="418">
        <v>480.10199999999998</v>
      </c>
      <c r="L78" s="756"/>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x14ac:dyDescent="0.2">
      <c r="B79" s="398">
        <f t="shared" si="19"/>
        <v>18</v>
      </c>
      <c r="C79" s="454" t="s">
        <v>46</v>
      </c>
      <c r="D79" s="454" t="s">
        <v>44</v>
      </c>
      <c r="E79" s="446">
        <v>225.4</v>
      </c>
      <c r="F79" s="446">
        <v>1.2</v>
      </c>
      <c r="G79" s="347">
        <v>223.12</v>
      </c>
      <c r="H79" s="347">
        <v>7.0999999999999994E-2</v>
      </c>
      <c r="I79" s="347">
        <v>202.3</v>
      </c>
      <c r="J79" s="807">
        <v>0.18823000000000001</v>
      </c>
      <c r="K79" s="418" t="str">
        <f t="shared" si="23"/>
        <v/>
      </c>
      <c r="L79" s="756"/>
      <c r="M79" s="224"/>
      <c r="N79" s="216" t="s">
        <v>308</v>
      </c>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x14ac:dyDescent="0.2">
      <c r="B80" s="398">
        <f t="shared" si="19"/>
        <v>19</v>
      </c>
      <c r="C80" s="454" t="s">
        <v>47</v>
      </c>
      <c r="D80" s="454" t="s">
        <v>44</v>
      </c>
      <c r="E80" s="446">
        <v>224</v>
      </c>
      <c r="F80" s="421">
        <v>0.6</v>
      </c>
      <c r="G80" s="347">
        <v>215.98</v>
      </c>
      <c r="H80" s="347">
        <v>0.105</v>
      </c>
      <c r="I80" s="348">
        <v>223.29</v>
      </c>
      <c r="J80" s="808">
        <v>0.52900000000000003</v>
      </c>
      <c r="K80" s="418" t="str">
        <f t="shared" si="23"/>
        <v/>
      </c>
      <c r="L80" s="758"/>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x14ac:dyDescent="0.2">
      <c r="B81" s="398">
        <f t="shared" si="19"/>
        <v>20</v>
      </c>
      <c r="C81" s="454" t="s">
        <v>48</v>
      </c>
      <c r="D81" s="454" t="s">
        <v>44</v>
      </c>
      <c r="E81" s="446">
        <v>196</v>
      </c>
      <c r="F81" s="421">
        <v>1.5820000000000001</v>
      </c>
      <c r="G81" s="347">
        <v>189.04</v>
      </c>
      <c r="H81" s="347">
        <v>0.41899999999999998</v>
      </c>
      <c r="I81" s="348">
        <v>194.5</v>
      </c>
      <c r="J81" s="807">
        <v>0.28571000000000002</v>
      </c>
      <c r="K81" s="418" t="str">
        <f t="shared" si="23"/>
        <v/>
      </c>
      <c r="L81" s="756"/>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x14ac:dyDescent="0.2">
      <c r="B82" s="398">
        <f t="shared" si="19"/>
        <v>21</v>
      </c>
      <c r="C82" s="454" t="s">
        <v>49</v>
      </c>
      <c r="D82" s="454" t="s">
        <v>44</v>
      </c>
      <c r="E82" s="446">
        <v>174</v>
      </c>
      <c r="F82" s="421">
        <v>0.47899999999999998</v>
      </c>
      <c r="G82" s="347">
        <v>172.38</v>
      </c>
      <c r="H82" s="347">
        <v>7.3999999999999996E-2</v>
      </c>
      <c r="I82" s="348">
        <v>169.67</v>
      </c>
      <c r="J82" s="807">
        <v>0.1088964</v>
      </c>
      <c r="K82" s="418">
        <v>226.68</v>
      </c>
      <c r="L82" s="756"/>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x14ac:dyDescent="0.2">
      <c r="B83" s="395">
        <f t="shared" si="19"/>
        <v>22</v>
      </c>
      <c r="C83" s="396" t="s">
        <v>50</v>
      </c>
      <c r="D83" s="396" t="s">
        <v>44</v>
      </c>
      <c r="E83" s="422">
        <v>229.1</v>
      </c>
      <c r="F83" s="449">
        <v>0.79200000000000004</v>
      </c>
      <c r="G83" s="346">
        <v>222.84</v>
      </c>
      <c r="H83" s="346">
        <v>0.28000000000000003</v>
      </c>
      <c r="I83" s="492">
        <v>225.89</v>
      </c>
      <c r="J83" s="809">
        <v>0.51852900000000002</v>
      </c>
      <c r="K83" s="418">
        <v>26.036999999999999</v>
      </c>
      <c r="L83" s="758"/>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x14ac:dyDescent="0.2">
      <c r="B84" s="398">
        <f t="shared" si="19"/>
        <v>23</v>
      </c>
      <c r="C84" s="454" t="s">
        <v>51</v>
      </c>
      <c r="D84" s="454" t="s">
        <v>44</v>
      </c>
      <c r="E84" s="446">
        <v>249</v>
      </c>
      <c r="F84" s="421">
        <v>2.1240000000000001</v>
      </c>
      <c r="G84" s="347">
        <v>239.52</v>
      </c>
      <c r="H84" s="347">
        <v>0.187</v>
      </c>
      <c r="I84" s="348">
        <v>243.2</v>
      </c>
      <c r="J84" s="808">
        <v>0.64993000000000001</v>
      </c>
      <c r="K84" s="418">
        <v>235.744</v>
      </c>
      <c r="L84" s="758"/>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x14ac:dyDescent="0.2">
      <c r="B85" s="398">
        <f t="shared" si="19"/>
        <v>24</v>
      </c>
      <c r="C85" s="454" t="s">
        <v>52</v>
      </c>
      <c r="D85" s="454" t="s">
        <v>84</v>
      </c>
      <c r="E85" s="446">
        <v>164.75</v>
      </c>
      <c r="F85" s="446">
        <v>5</v>
      </c>
      <c r="G85" s="347">
        <v>154.43</v>
      </c>
      <c r="H85" s="347">
        <v>0.503</v>
      </c>
      <c r="I85" s="347">
        <v>149.55000000000001</v>
      </c>
      <c r="J85" s="808">
        <v>3.2364805099999998</v>
      </c>
      <c r="K85" s="418" t="str">
        <f t="shared" si="23"/>
        <v/>
      </c>
      <c r="L85" s="758"/>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x14ac:dyDescent="0.2">
      <c r="B86" s="398">
        <f t="shared" si="19"/>
        <v>25</v>
      </c>
      <c r="C86" s="454" t="s">
        <v>53</v>
      </c>
      <c r="D86" s="454" t="s">
        <v>84</v>
      </c>
      <c r="E86" s="446">
        <v>179.1</v>
      </c>
      <c r="F86" s="421">
        <v>4.2</v>
      </c>
      <c r="G86" s="348">
        <v>166.32</v>
      </c>
      <c r="H86" s="348">
        <v>0.39800000000000002</v>
      </c>
      <c r="I86" s="347">
        <v>231.18</v>
      </c>
      <c r="J86" s="807">
        <v>2.5834432399999998</v>
      </c>
      <c r="K86" s="418">
        <v>500</v>
      </c>
      <c r="L86" s="756"/>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x14ac:dyDescent="0.2">
      <c r="B87" s="398">
        <f t="shared" si="19"/>
        <v>26</v>
      </c>
      <c r="C87" s="454" t="s">
        <v>54</v>
      </c>
      <c r="D87" s="454" t="s">
        <v>85</v>
      </c>
      <c r="E87" s="446">
        <v>325.56</v>
      </c>
      <c r="F87" s="421">
        <v>0.70099999999999996</v>
      </c>
      <c r="G87" s="348">
        <v>315.85000000000002</v>
      </c>
      <c r="H87" s="348">
        <v>0.114</v>
      </c>
      <c r="I87" s="348">
        <v>324.77</v>
      </c>
      <c r="J87" s="808">
        <v>0.62825470000000005</v>
      </c>
      <c r="K87" s="418" t="str">
        <f t="shared" si="23"/>
        <v/>
      </c>
      <c r="L87" s="758"/>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x14ac:dyDescent="0.2">
      <c r="B88" s="398">
        <f t="shared" si="19"/>
        <v>27</v>
      </c>
      <c r="C88" s="454" t="s">
        <v>55</v>
      </c>
      <c r="D88" s="454" t="s">
        <v>85</v>
      </c>
      <c r="E88" s="446">
        <v>129.19999999999999</v>
      </c>
      <c r="F88" s="421">
        <v>0.5</v>
      </c>
      <c r="G88" s="347">
        <v>123.6</v>
      </c>
      <c r="H88" s="347">
        <v>2.9000000000000001E-2</v>
      </c>
      <c r="I88" s="348">
        <v>129.19999999999999</v>
      </c>
      <c r="J88" s="807">
        <v>0.5</v>
      </c>
      <c r="K88" s="418">
        <v>275.45699999999999</v>
      </c>
      <c r="L88" s="756"/>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x14ac:dyDescent="0.2">
      <c r="B89" s="398">
        <f t="shared" si="19"/>
        <v>28</v>
      </c>
      <c r="C89" s="454" t="s">
        <v>56</v>
      </c>
      <c r="D89" s="454" t="s">
        <v>85</v>
      </c>
      <c r="E89" s="446">
        <v>282.77999999999997</v>
      </c>
      <c r="F89" s="421">
        <v>0.51300000000000001</v>
      </c>
      <c r="G89" s="347">
        <v>277.87</v>
      </c>
      <c r="H89" s="347">
        <v>7.3999999999999996E-2</v>
      </c>
      <c r="I89" s="347">
        <v>282.77999999999997</v>
      </c>
      <c r="J89" s="807">
        <v>0.57354000000000005</v>
      </c>
      <c r="K89" s="418">
        <v>85.683999999999997</v>
      </c>
      <c r="L89" s="756"/>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x14ac:dyDescent="0.2">
      <c r="B90" s="398">
        <f t="shared" si="19"/>
        <v>29</v>
      </c>
      <c r="C90" s="454" t="s">
        <v>57</v>
      </c>
      <c r="D90" s="454" t="s">
        <v>85</v>
      </c>
      <c r="E90" s="446">
        <v>99</v>
      </c>
      <c r="F90" s="421">
        <v>2.6110000000000002</v>
      </c>
      <c r="G90" s="347">
        <v>91.8</v>
      </c>
      <c r="H90" s="347">
        <v>91.5</v>
      </c>
      <c r="I90" s="348">
        <v>98.84</v>
      </c>
      <c r="J90" s="808">
        <v>0.965187927</v>
      </c>
      <c r="K90" s="418" t="str">
        <f t="shared" si="23"/>
        <v/>
      </c>
      <c r="L90" s="758"/>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x14ac:dyDescent="0.2">
      <c r="B91" s="398">
        <f t="shared" si="19"/>
        <v>30</v>
      </c>
      <c r="C91" s="454" t="s">
        <v>58</v>
      </c>
      <c r="D91" s="454" t="s">
        <v>85</v>
      </c>
      <c r="E91" s="446">
        <v>189.7</v>
      </c>
      <c r="F91" s="446">
        <v>7.9000000000000001E-2</v>
      </c>
      <c r="G91" s="347">
        <v>188.25</v>
      </c>
      <c r="H91" s="347">
        <v>3.2000000000000001E-2</v>
      </c>
      <c r="I91" s="348">
        <v>189.4</v>
      </c>
      <c r="J91" s="808">
        <v>7.3440000000000005E-2</v>
      </c>
      <c r="K91" s="418" t="str">
        <f t="shared" si="23"/>
        <v/>
      </c>
      <c r="L91" s="758"/>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x14ac:dyDescent="0.2">
      <c r="B92" s="398">
        <f t="shared" si="19"/>
        <v>31</v>
      </c>
      <c r="C92" s="454" t="s">
        <v>59</v>
      </c>
      <c r="D92" s="454" t="s">
        <v>85</v>
      </c>
      <c r="E92" s="446">
        <v>171.19</v>
      </c>
      <c r="F92" s="421">
        <v>9.6879999999999994E-2</v>
      </c>
      <c r="G92" s="347">
        <v>169.34</v>
      </c>
      <c r="H92" s="399">
        <v>5.1999999999999998E-2</v>
      </c>
      <c r="I92" s="348">
        <v>171.41</v>
      </c>
      <c r="J92" s="808">
        <v>0.10220799999999999</v>
      </c>
      <c r="K92" s="418">
        <v>8.4770000000000003</v>
      </c>
      <c r="L92" s="758"/>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x14ac:dyDescent="0.2">
      <c r="B93" s="398">
        <f t="shared" si="19"/>
        <v>32</v>
      </c>
      <c r="C93" s="454" t="s">
        <v>60</v>
      </c>
      <c r="D93" s="454" t="s">
        <v>86</v>
      </c>
      <c r="E93" s="446">
        <v>142.6</v>
      </c>
      <c r="F93" s="421">
        <v>9.157</v>
      </c>
      <c r="G93" s="347">
        <v>139.43</v>
      </c>
      <c r="H93" s="347">
        <v>1.7649999999999999</v>
      </c>
      <c r="I93" s="347">
        <v>153.16</v>
      </c>
      <c r="J93" s="810">
        <v>9.5078355800000001</v>
      </c>
      <c r="K93" s="418" t="str">
        <f t="shared" si="23"/>
        <v>Limpas</v>
      </c>
      <c r="L93" s="759"/>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x14ac:dyDescent="0.2">
      <c r="B94" s="398">
        <f t="shared" si="19"/>
        <v>33</v>
      </c>
      <c r="C94" s="454" t="s">
        <v>61</v>
      </c>
      <c r="D94" s="454" t="s">
        <v>86</v>
      </c>
      <c r="E94" s="446">
        <v>239.5</v>
      </c>
      <c r="F94" s="421">
        <v>2.6720000000000002</v>
      </c>
      <c r="G94" s="347">
        <v>234.45</v>
      </c>
      <c r="H94" s="399">
        <v>0.44600000000000001</v>
      </c>
      <c r="I94" s="347">
        <v>238.48</v>
      </c>
      <c r="J94" s="810">
        <v>2.1288</v>
      </c>
      <c r="K94" s="418" t="str">
        <f t="shared" si="23"/>
        <v/>
      </c>
      <c r="L94" s="759"/>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x14ac:dyDescent="0.2">
      <c r="B95" s="398">
        <f t="shared" si="19"/>
        <v>34</v>
      </c>
      <c r="C95" s="454" t="s">
        <v>62</v>
      </c>
      <c r="D95" s="454" t="s">
        <v>87</v>
      </c>
      <c r="E95" s="446">
        <v>120.5</v>
      </c>
      <c r="F95" s="421">
        <v>3.677</v>
      </c>
      <c r="G95" s="347">
        <v>118.55</v>
      </c>
      <c r="H95" s="347">
        <v>0.59499999999999997</v>
      </c>
      <c r="I95" s="347">
        <v>120.75</v>
      </c>
      <c r="J95" s="807">
        <v>4.154369</v>
      </c>
      <c r="K95" s="418" t="str">
        <f t="shared" si="23"/>
        <v>Limpas</v>
      </c>
      <c r="L95" s="756"/>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x14ac:dyDescent="0.2">
      <c r="B96" s="398">
        <f t="shared" si="19"/>
        <v>35</v>
      </c>
      <c r="C96" s="454" t="s">
        <v>63</v>
      </c>
      <c r="D96" s="454" t="s">
        <v>88</v>
      </c>
      <c r="E96" s="446">
        <v>110.56</v>
      </c>
      <c r="F96" s="421">
        <v>2.75</v>
      </c>
      <c r="G96" s="347">
        <v>107.16</v>
      </c>
      <c r="H96" s="347">
        <v>0.311</v>
      </c>
      <c r="I96" s="347">
        <v>110.56</v>
      </c>
      <c r="J96" s="807">
        <v>2.75</v>
      </c>
      <c r="K96" s="418"/>
      <c r="L96" s="756"/>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x14ac:dyDescent="0.2">
      <c r="B97" s="398">
        <f t="shared" si="19"/>
        <v>36</v>
      </c>
      <c r="C97" s="454" t="s">
        <v>64</v>
      </c>
      <c r="D97" s="454" t="s">
        <v>89</v>
      </c>
      <c r="E97" s="446">
        <v>72</v>
      </c>
      <c r="F97" s="421">
        <v>38.036000000000001</v>
      </c>
      <c r="G97" s="347">
        <v>67.599999999999994</v>
      </c>
      <c r="H97" s="399">
        <v>27.579000000000001</v>
      </c>
      <c r="I97" s="347">
        <v>70.05</v>
      </c>
      <c r="J97" s="810">
        <v>33.323</v>
      </c>
      <c r="K97" s="418" t="str">
        <f t="shared" si="23"/>
        <v/>
      </c>
      <c r="L97" s="759"/>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x14ac:dyDescent="0.2">
      <c r="B98" s="398">
        <f t="shared" si="19"/>
        <v>37</v>
      </c>
      <c r="C98" s="454" t="s">
        <v>65</v>
      </c>
      <c r="D98" s="454" t="s">
        <v>89</v>
      </c>
      <c r="E98" s="446">
        <v>185</v>
      </c>
      <c r="F98" s="421">
        <v>388.72199999999998</v>
      </c>
      <c r="G98" s="347">
        <v>175</v>
      </c>
      <c r="H98" s="399">
        <v>290.05700000000002</v>
      </c>
      <c r="I98" s="594">
        <v>174.2</v>
      </c>
      <c r="J98" s="806">
        <v>282.58300000000003</v>
      </c>
      <c r="K98" s="418" t="str">
        <f t="shared" si="23"/>
        <v/>
      </c>
      <c r="L98" s="760"/>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x14ac:dyDescent="0.2">
      <c r="B99" s="398">
        <v>38</v>
      </c>
      <c r="C99" s="454" t="s">
        <v>66</v>
      </c>
      <c r="D99" s="454" t="s">
        <v>90</v>
      </c>
      <c r="E99" s="446">
        <v>231</v>
      </c>
      <c r="F99" s="421">
        <v>30.48</v>
      </c>
      <c r="G99" s="347">
        <v>229.96</v>
      </c>
      <c r="H99" s="399">
        <v>13.87</v>
      </c>
      <c r="I99" s="347">
        <v>230.02</v>
      </c>
      <c r="J99" s="810">
        <v>12.372</v>
      </c>
      <c r="K99" s="418" t="str">
        <f>IF(I99&gt;E99,"Limpas","")</f>
        <v/>
      </c>
      <c r="L99" s="759"/>
      <c r="M99" s="520"/>
      <c r="AB99"/>
      <c r="AC99"/>
      <c r="AD99"/>
      <c r="AE99"/>
      <c r="AF99"/>
      <c r="AG99"/>
      <c r="AH99"/>
      <c r="AI99"/>
      <c r="AJ99"/>
      <c r="AK99"/>
      <c r="AL99"/>
      <c r="AM99"/>
      <c r="AN99"/>
      <c r="AO99"/>
      <c r="AP99" s="363"/>
      <c r="AQ99" s="375">
        <f t="shared" si="22"/>
        <v>35</v>
      </c>
      <c r="AR99">
        <f t="shared" si="24"/>
        <v>612.39</v>
      </c>
      <c r="AS99">
        <f t="shared" si="21"/>
        <v>0</v>
      </c>
      <c r="AT99"/>
      <c r="AU99"/>
      <c r="AV99"/>
      <c r="AW99"/>
      <c r="AX99"/>
      <c r="AY99"/>
      <c r="AZ99"/>
      <c r="BA99"/>
      <c r="BB99"/>
      <c r="BC99"/>
      <c r="BD99"/>
      <c r="BE99"/>
    </row>
    <row r="100" spans="2:57" ht="27" customHeight="1" x14ac:dyDescent="0.2">
      <c r="B100" s="395">
        <v>39</v>
      </c>
      <c r="C100" s="396" t="s">
        <v>230</v>
      </c>
      <c r="D100" s="396" t="s">
        <v>78</v>
      </c>
      <c r="E100" s="422">
        <v>149.30000000000001</v>
      </c>
      <c r="F100" s="449">
        <v>17.670000000000002</v>
      </c>
      <c r="G100" s="422">
        <v>149.30000000000001</v>
      </c>
      <c r="H100" s="449">
        <v>17.670000000000002</v>
      </c>
      <c r="I100" s="422">
        <v>149.68700000000001</v>
      </c>
      <c r="J100" s="814">
        <v>11.32</v>
      </c>
      <c r="K100" s="543" t="s">
        <v>233</v>
      </c>
      <c r="L100" s="761"/>
      <c r="M100" s="224"/>
      <c r="AB100"/>
      <c r="AC100"/>
      <c r="AD100"/>
      <c r="AE100"/>
      <c r="AF100"/>
      <c r="AG100"/>
      <c r="AH100"/>
      <c r="AI100"/>
      <c r="AJ100"/>
      <c r="AK100"/>
      <c r="AL100"/>
      <c r="AM100"/>
      <c r="AN100"/>
      <c r="AO100"/>
      <c r="AP100" s="363"/>
      <c r="AQ100" s="375">
        <f t="shared" si="22"/>
        <v>36</v>
      </c>
      <c r="AR100">
        <f t="shared" si="24"/>
        <v>616.53</v>
      </c>
      <c r="AS100">
        <f t="shared" si="21"/>
        <v>0</v>
      </c>
      <c r="AT100"/>
      <c r="AU100"/>
      <c r="AV100"/>
      <c r="AW100"/>
      <c r="AX100"/>
      <c r="AY100"/>
      <c r="AZ100"/>
      <c r="BA100"/>
      <c r="BB100"/>
      <c r="BC100"/>
      <c r="BD100"/>
      <c r="BE100"/>
    </row>
    <row r="101" spans="2:57" ht="27" customHeight="1" x14ac:dyDescent="0.25">
      <c r="B101" s="398">
        <f>+B100+1</f>
        <v>40</v>
      </c>
      <c r="C101" s="454" t="s">
        <v>231</v>
      </c>
      <c r="D101" s="454" t="s">
        <v>82</v>
      </c>
      <c r="E101" s="446">
        <v>39</v>
      </c>
      <c r="F101" s="421">
        <v>0.47399999999999998</v>
      </c>
      <c r="G101" s="446">
        <v>39</v>
      </c>
      <c r="H101" s="421">
        <v>0.47</v>
      </c>
      <c r="I101" s="791">
        <v>39</v>
      </c>
      <c r="J101" s="810">
        <v>0.47</v>
      </c>
      <c r="K101" s="543" t="s">
        <v>204</v>
      </c>
      <c r="L101" s="759"/>
      <c r="AB101"/>
      <c r="AC101"/>
      <c r="AD101"/>
      <c r="AE101"/>
      <c r="AF101"/>
      <c r="AG101"/>
      <c r="AH101"/>
      <c r="AI101"/>
      <c r="AJ101"/>
      <c r="AK101"/>
      <c r="AL101"/>
      <c r="AM101"/>
      <c r="AN101"/>
      <c r="AO101"/>
      <c r="AP101" s="363"/>
      <c r="AQ101" s="375">
        <f t="shared" si="22"/>
        <v>37</v>
      </c>
      <c r="AR101">
        <f t="shared" si="24"/>
        <v>623.99</v>
      </c>
      <c r="AS101">
        <f t="shared" si="21"/>
        <v>0</v>
      </c>
      <c r="AT101"/>
      <c r="AU101"/>
      <c r="AV101"/>
      <c r="AW101"/>
      <c r="AX101"/>
      <c r="AY101"/>
      <c r="AZ101"/>
      <c r="BA101"/>
      <c r="BB101"/>
      <c r="BC101"/>
      <c r="BD101"/>
      <c r="BE101"/>
    </row>
    <row r="102" spans="2:57" ht="27" customHeight="1" thickBot="1" x14ac:dyDescent="0.3">
      <c r="B102" s="400">
        <v>41</v>
      </c>
      <c r="C102" s="401" t="s">
        <v>232</v>
      </c>
      <c r="D102" s="401" t="s">
        <v>82</v>
      </c>
      <c r="E102" s="460">
        <v>70</v>
      </c>
      <c r="F102" s="423">
        <v>0.81699999999999995</v>
      </c>
      <c r="G102" s="460">
        <v>70</v>
      </c>
      <c r="H102" s="423">
        <v>0.82</v>
      </c>
      <c r="I102" s="789">
        <v>70</v>
      </c>
      <c r="J102" s="810">
        <v>0.74399999999999999</v>
      </c>
      <c r="K102" s="544"/>
      <c r="L102" s="759"/>
      <c r="AB102"/>
      <c r="AC102"/>
      <c r="AD102"/>
      <c r="AE102"/>
      <c r="AF102"/>
      <c r="AG102"/>
      <c r="AH102"/>
      <c r="AI102"/>
      <c r="AJ102"/>
      <c r="AK102"/>
      <c r="AL102"/>
      <c r="AM102"/>
      <c r="AN102"/>
      <c r="AO102"/>
      <c r="AP102" s="363"/>
      <c r="AQ102" s="375">
        <f t="shared" si="22"/>
        <v>38</v>
      </c>
      <c r="AR102">
        <f t="shared" si="24"/>
        <v>635.01</v>
      </c>
      <c r="AS102">
        <f t="shared" si="21"/>
        <v>0</v>
      </c>
      <c r="AT102"/>
      <c r="AU102"/>
      <c r="AV102"/>
      <c r="AW102"/>
      <c r="AX102"/>
      <c r="AY102"/>
      <c r="AZ102"/>
      <c r="BA102"/>
      <c r="BB102"/>
      <c r="BC102"/>
      <c r="BD102"/>
      <c r="BE102"/>
    </row>
    <row r="103" spans="2:57" ht="27" customHeight="1" thickBot="1" x14ac:dyDescent="0.25">
      <c r="B103" s="393"/>
      <c r="C103" s="394" t="s">
        <v>67</v>
      </c>
      <c r="D103" s="394"/>
      <c r="E103" s="426"/>
      <c r="F103" s="425">
        <f>SUM(F62:F102)</f>
        <v>1813.882478</v>
      </c>
      <c r="G103" s="426"/>
      <c r="H103" s="425">
        <f>SUM(H65:H102)</f>
        <v>805.69000000000017</v>
      </c>
      <c r="I103" s="426"/>
      <c r="J103" s="374">
        <f>SUM(J62:J102)</f>
        <v>1338.3485409130483</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x14ac:dyDescent="0.25">
      <c r="B104" s="403" t="s">
        <v>68</v>
      </c>
      <c r="C104" s="515" t="s">
        <v>69</v>
      </c>
      <c r="D104" s="515"/>
      <c r="E104" s="431"/>
      <c r="F104" s="428"/>
      <c r="G104" s="429"/>
      <c r="H104" s="430">
        <v>1</v>
      </c>
      <c r="I104" s="431"/>
      <c r="J104" s="357">
        <f>IFERROR(+J103/H103,0)</f>
        <v>1.6611209533605331</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x14ac:dyDescent="0.25">
      <c r="B105" s="406"/>
      <c r="C105" s="407" t="s">
        <v>234</v>
      </c>
      <c r="D105" s="408"/>
      <c r="E105" s="505">
        <v>1736.79</v>
      </c>
      <c r="F105" s="432">
        <v>1</v>
      </c>
      <c r="G105" s="433" t="s">
        <v>68</v>
      </c>
      <c r="H105" s="432">
        <f>+H103/F103*100%</f>
        <v>0.44417982409111745</v>
      </c>
      <c r="I105" s="434"/>
      <c r="J105" s="358">
        <f>+J103/F103</f>
        <v>0.73783641285775092</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x14ac:dyDescent="0.25">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642.96</v>
      </c>
      <c r="AS106">
        <f t="shared" si="21"/>
        <v>0</v>
      </c>
      <c r="AT106"/>
      <c r="AU106"/>
      <c r="AV106"/>
      <c r="AW106"/>
      <c r="AX106"/>
      <c r="AY106"/>
      <c r="AZ106"/>
      <c r="BA106"/>
      <c r="BB106"/>
      <c r="BC106"/>
      <c r="BD106"/>
      <c r="BE106"/>
    </row>
    <row r="107" spans="2:57" ht="27" customHeight="1" thickBot="1" x14ac:dyDescent="0.25">
      <c r="B107" s="390"/>
      <c r="C107" s="350"/>
      <c r="D107" s="350"/>
      <c r="E107" s="350"/>
      <c r="F107" s="391">
        <v>9</v>
      </c>
      <c r="G107" s="392" t="s">
        <v>6</v>
      </c>
      <c r="H107" s="581">
        <v>2020</v>
      </c>
      <c r="I107" s="350"/>
      <c r="J107" s="350"/>
      <c r="K107" s="414"/>
      <c r="L107" s="415"/>
      <c r="M107" s="228"/>
      <c r="AB107"/>
      <c r="AC107"/>
      <c r="AD107"/>
      <c r="AE107"/>
      <c r="AF107"/>
      <c r="AG107"/>
      <c r="AH107"/>
      <c r="AI107"/>
      <c r="AJ107"/>
      <c r="AK107"/>
      <c r="AL107"/>
      <c r="AM107"/>
      <c r="AN107"/>
      <c r="AO107"/>
      <c r="AP107" s="363"/>
      <c r="AQ107" s="375">
        <f t="shared" si="22"/>
        <v>40</v>
      </c>
      <c r="AR107">
        <f t="shared" si="25"/>
        <v>644.61</v>
      </c>
      <c r="AS107">
        <f t="shared" si="21"/>
        <v>0</v>
      </c>
      <c r="AT107"/>
      <c r="AU107"/>
      <c r="AV107"/>
      <c r="AW107"/>
      <c r="AX107"/>
      <c r="AY107"/>
      <c r="AZ107"/>
      <c r="BA107"/>
      <c r="BB107"/>
      <c r="BC107"/>
      <c r="BD107"/>
      <c r="BE107"/>
    </row>
    <row r="108" spans="2:57" ht="27" customHeight="1" x14ac:dyDescent="0.2">
      <c r="B108" s="512" t="s">
        <v>18</v>
      </c>
      <c r="C108" s="515" t="s">
        <v>19</v>
      </c>
      <c r="D108" s="515" t="s">
        <v>75</v>
      </c>
      <c r="E108" s="827" t="s">
        <v>20</v>
      </c>
      <c r="F108" s="828"/>
      <c r="G108" s="827" t="s">
        <v>96</v>
      </c>
      <c r="H108" s="828"/>
      <c r="I108" s="827" t="s">
        <v>22</v>
      </c>
      <c r="J108" s="828"/>
      <c r="K108" s="509" t="s">
        <v>168</v>
      </c>
      <c r="L108" s="416"/>
      <c r="M108" s="229"/>
      <c r="AB108"/>
      <c r="AC108"/>
      <c r="AD108"/>
      <c r="AE108"/>
      <c r="AF108"/>
      <c r="AG108"/>
      <c r="AH108"/>
      <c r="AI108"/>
      <c r="AJ108"/>
      <c r="AK108"/>
      <c r="AL108"/>
      <c r="AM108"/>
      <c r="AN108"/>
      <c r="AO108"/>
      <c r="AP108" s="363"/>
      <c r="AQ108" s="375">
        <f t="shared" si="22"/>
        <v>41</v>
      </c>
      <c r="AR108">
        <f t="shared" si="25"/>
        <v>646.84</v>
      </c>
      <c r="AS108">
        <f t="shared" si="21"/>
        <v>0</v>
      </c>
      <c r="AT108"/>
      <c r="AU108"/>
      <c r="AV108"/>
      <c r="AW108"/>
      <c r="AX108"/>
      <c r="AY108"/>
      <c r="AZ108"/>
      <c r="BA108"/>
      <c r="BB108"/>
      <c r="BC108"/>
      <c r="BD108"/>
      <c r="BE108"/>
    </row>
    <row r="109" spans="2:57" ht="27" customHeight="1" x14ac:dyDescent="0.2">
      <c r="B109" s="513"/>
      <c r="C109" s="516"/>
      <c r="D109" s="516"/>
      <c r="E109" s="352" t="s">
        <v>24</v>
      </c>
      <c r="F109" s="352" t="s">
        <v>25</v>
      </c>
      <c r="G109" s="351" t="s">
        <v>24</v>
      </c>
      <c r="H109" s="352" t="s">
        <v>25</v>
      </c>
      <c r="I109" s="351" t="s">
        <v>24</v>
      </c>
      <c r="J109" s="352" t="s">
        <v>25</v>
      </c>
      <c r="K109" s="510"/>
      <c r="L109" s="416"/>
      <c r="M109" s="226"/>
      <c r="AB109"/>
      <c r="AC109"/>
      <c r="AD109"/>
      <c r="AE109"/>
      <c r="AF109"/>
      <c r="AG109"/>
      <c r="AH109"/>
      <c r="AI109"/>
      <c r="AJ109"/>
      <c r="AK109"/>
      <c r="AL109"/>
      <c r="AM109"/>
      <c r="AN109"/>
      <c r="AO109"/>
      <c r="AP109" s="363"/>
      <c r="AQ109" s="375">
        <f t="shared" si="22"/>
        <v>42</v>
      </c>
      <c r="AR109">
        <f t="shared" si="25"/>
        <v>649.76</v>
      </c>
      <c r="AS109">
        <f t="shared" si="21"/>
        <v>0</v>
      </c>
      <c r="AT109"/>
      <c r="AU109"/>
      <c r="AV109"/>
      <c r="AW109"/>
      <c r="AX109"/>
      <c r="AY109"/>
      <c r="AZ109"/>
      <c r="BA109"/>
      <c r="BB109"/>
      <c r="BC109"/>
      <c r="BD109"/>
      <c r="BE109"/>
    </row>
    <row r="110" spans="2:57" ht="27" customHeight="1" thickBot="1" x14ac:dyDescent="0.25">
      <c r="B110" s="514"/>
      <c r="C110" s="517"/>
      <c r="D110" s="517"/>
      <c r="E110" s="354" t="s">
        <v>26</v>
      </c>
      <c r="F110" s="354" t="s">
        <v>157</v>
      </c>
      <c r="G110" s="353" t="s">
        <v>26</v>
      </c>
      <c r="H110" s="354" t="s">
        <v>157</v>
      </c>
      <c r="I110" s="353" t="s">
        <v>26</v>
      </c>
      <c r="J110" s="354" t="s">
        <v>157</v>
      </c>
      <c r="K110" s="511"/>
      <c r="L110" s="416"/>
      <c r="M110" s="226"/>
      <c r="AB110"/>
      <c r="AC110"/>
      <c r="AD110"/>
      <c r="AE110"/>
      <c r="AF110"/>
      <c r="AG110"/>
      <c r="AH110"/>
      <c r="AI110"/>
      <c r="AJ110"/>
      <c r="AK110"/>
      <c r="AL110"/>
      <c r="AM110"/>
      <c r="AN110"/>
      <c r="AO110"/>
      <c r="AP110" s="363"/>
      <c r="AQ110" s="375">
        <f t="shared" si="22"/>
        <v>43</v>
      </c>
      <c r="AR110">
        <f t="shared" si="25"/>
        <v>650.83000000000004</v>
      </c>
      <c r="AS110">
        <f t="shared" si="21"/>
        <v>0</v>
      </c>
      <c r="AT110"/>
      <c r="AU110"/>
      <c r="AV110"/>
      <c r="AW110"/>
      <c r="AX110"/>
      <c r="AY110"/>
      <c r="AZ110"/>
      <c r="BA110"/>
      <c r="BB110"/>
      <c r="BC110"/>
      <c r="BD110"/>
      <c r="BE110"/>
    </row>
    <row r="111" spans="2:57" ht="27" customHeight="1" thickBot="1" x14ac:dyDescent="0.25">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640.70000000000005</v>
      </c>
      <c r="AS111">
        <f t="shared" si="21"/>
        <v>0</v>
      </c>
      <c r="AT111"/>
      <c r="AU111"/>
      <c r="AV111"/>
      <c r="AW111"/>
      <c r="AX111"/>
      <c r="AY111"/>
      <c r="AZ111"/>
      <c r="BA111"/>
      <c r="BB111"/>
      <c r="BC111"/>
      <c r="BD111"/>
      <c r="BE111"/>
    </row>
    <row r="112" spans="2:57" ht="27" customHeight="1" x14ac:dyDescent="0.2">
      <c r="B112" s="395">
        <v>1</v>
      </c>
      <c r="C112" s="396" t="s">
        <v>28</v>
      </c>
      <c r="D112" s="396" t="s">
        <v>76</v>
      </c>
      <c r="E112" s="446">
        <v>55.77</v>
      </c>
      <c r="F112" s="421">
        <v>31.144597999999998</v>
      </c>
      <c r="G112" s="346">
        <v>53.24</v>
      </c>
      <c r="H112" s="346">
        <v>18.036000000000001</v>
      </c>
      <c r="I112" s="346">
        <v>55.61</v>
      </c>
      <c r="J112" s="799">
        <v>30.20984</v>
      </c>
      <c r="K112" s="523" t="str">
        <f>IF(I112&gt;E112,"Limpas","")</f>
        <v/>
      </c>
      <c r="L112" s="519"/>
      <c r="M112" s="226"/>
      <c r="AB112"/>
      <c r="AC112"/>
      <c r="AD112"/>
      <c r="AE112"/>
      <c r="AF112"/>
      <c r="AG112"/>
      <c r="AH112"/>
      <c r="AI112"/>
      <c r="AJ112"/>
      <c r="AK112"/>
      <c r="AL112"/>
      <c r="AM112"/>
      <c r="AN112"/>
      <c r="AO112"/>
      <c r="AP112" s="363"/>
      <c r="AQ112" s="375">
        <f t="shared" si="22"/>
        <v>45</v>
      </c>
      <c r="AR112">
        <f t="shared" si="25"/>
        <v>651.95000000000005</v>
      </c>
      <c r="AS112">
        <f t="shared" si="21"/>
        <v>0</v>
      </c>
      <c r="AT112"/>
      <c r="AU112"/>
      <c r="AV112"/>
      <c r="AW112"/>
      <c r="AX112"/>
      <c r="AY112"/>
      <c r="AZ112"/>
      <c r="BA112"/>
      <c r="BB112"/>
      <c r="BC112"/>
      <c r="BD112"/>
      <c r="BE112"/>
    </row>
    <row r="113" spans="2:57" ht="27" customHeight="1" x14ac:dyDescent="0.2">
      <c r="B113" s="398">
        <f>+B112+1</f>
        <v>2</v>
      </c>
      <c r="C113" s="454" t="s">
        <v>29</v>
      </c>
      <c r="D113" s="454" t="s">
        <v>76</v>
      </c>
      <c r="E113" s="422">
        <v>339.5</v>
      </c>
      <c r="F113" s="449">
        <v>7.77</v>
      </c>
      <c r="G113" s="347">
        <v>338.77</v>
      </c>
      <c r="H113" s="399">
        <v>7.157</v>
      </c>
      <c r="I113" s="347">
        <v>338.95</v>
      </c>
      <c r="J113" s="800">
        <v>7.3075000000000001</v>
      </c>
      <c r="K113" s="523" t="str">
        <f>IF(I113&gt;E113,"Limpas","")</f>
        <v/>
      </c>
      <c r="L113" s="526"/>
      <c r="M113" s="226"/>
      <c r="AB113"/>
      <c r="AC113"/>
      <c r="AD113"/>
      <c r="AE113"/>
      <c r="AF113"/>
      <c r="AG113"/>
      <c r="AH113"/>
      <c r="AI113"/>
      <c r="AJ113"/>
      <c r="AK113"/>
      <c r="AL113"/>
      <c r="AM113"/>
      <c r="AN113"/>
      <c r="AO113"/>
      <c r="AP113" s="363"/>
      <c r="AQ113" s="375">
        <f t="shared" si="22"/>
        <v>46</v>
      </c>
      <c r="AR113">
        <f t="shared" si="25"/>
        <v>664.97</v>
      </c>
      <c r="AS113">
        <f t="shared" si="21"/>
        <v>0</v>
      </c>
      <c r="AT113"/>
      <c r="AU113"/>
      <c r="AV113"/>
      <c r="AW113"/>
      <c r="AX113"/>
      <c r="AY113"/>
      <c r="AZ113"/>
      <c r="BA113"/>
      <c r="BB113"/>
      <c r="BC113"/>
      <c r="BD113"/>
      <c r="BE113"/>
    </row>
    <row r="114" spans="2:57" ht="27" customHeight="1" x14ac:dyDescent="0.2">
      <c r="B114" s="398">
        <f t="shared" ref="B114:B148" si="26">+B113+1</f>
        <v>3</v>
      </c>
      <c r="C114" s="454" t="s">
        <v>30</v>
      </c>
      <c r="D114" s="454" t="s">
        <v>77</v>
      </c>
      <c r="E114" s="446">
        <v>77.5</v>
      </c>
      <c r="F114" s="421">
        <v>49.02</v>
      </c>
      <c r="G114" s="347">
        <v>73.650000000000006</v>
      </c>
      <c r="H114" s="399">
        <v>27.367000000000001</v>
      </c>
      <c r="I114" s="347">
        <v>77.16</v>
      </c>
      <c r="J114" s="800">
        <v>46.828677999999996</v>
      </c>
      <c r="K114" s="523" t="str">
        <f>IF(I114&gt;E114,"Limpas","")</f>
        <v/>
      </c>
      <c r="L114" s="526"/>
      <c r="M114" s="541"/>
      <c r="AB114"/>
      <c r="AC114"/>
      <c r="AD114"/>
      <c r="AE114"/>
      <c r="AF114"/>
      <c r="AG114"/>
      <c r="AH114"/>
      <c r="AI114"/>
      <c r="AJ114"/>
      <c r="AK114"/>
      <c r="AL114"/>
      <c r="AM114"/>
      <c r="AN114"/>
      <c r="AO114"/>
      <c r="AP114" s="363"/>
      <c r="AQ114" s="375">
        <f t="shared" si="22"/>
        <v>47</v>
      </c>
      <c r="AR114">
        <f t="shared" si="25"/>
        <v>680.15</v>
      </c>
      <c r="AS114">
        <f t="shared" si="21"/>
        <v>0</v>
      </c>
      <c r="AT114"/>
      <c r="AU114"/>
      <c r="AV114"/>
      <c r="AW114"/>
      <c r="AX114"/>
      <c r="AY114"/>
      <c r="AZ114"/>
      <c r="BA114"/>
      <c r="BB114"/>
      <c r="BC114"/>
      <c r="BD114"/>
      <c r="BE114"/>
    </row>
    <row r="115" spans="2:57" ht="27" customHeight="1" x14ac:dyDescent="0.2">
      <c r="B115" s="398">
        <f t="shared" si="26"/>
        <v>4</v>
      </c>
      <c r="C115" s="454" t="s">
        <v>31</v>
      </c>
      <c r="D115" s="454" t="s">
        <v>78</v>
      </c>
      <c r="E115" s="446">
        <v>463.3</v>
      </c>
      <c r="F115" s="421">
        <v>49.9</v>
      </c>
      <c r="G115" s="445">
        <v>462.22</v>
      </c>
      <c r="H115" s="445">
        <v>27.992000000000001</v>
      </c>
      <c r="I115" s="421">
        <v>462.94</v>
      </c>
      <c r="J115" s="800">
        <v>46.872</v>
      </c>
      <c r="K115" s="523" t="str">
        <f t="shared" ref="K115:K121" si="27">IF(I115&gt;E115,"Limpas","")</f>
        <v/>
      </c>
      <c r="L115" s="527"/>
      <c r="M115" s="226"/>
      <c r="AB115"/>
      <c r="AC115"/>
      <c r="AD115"/>
      <c r="AE115"/>
      <c r="AF115"/>
      <c r="AG115"/>
      <c r="AH115"/>
      <c r="AI115"/>
      <c r="AJ115"/>
      <c r="AK115"/>
      <c r="AL115"/>
      <c r="AM115"/>
      <c r="AN115"/>
      <c r="AO115"/>
      <c r="AP115" s="363"/>
      <c r="AQ115" s="375">
        <f t="shared" si="22"/>
        <v>48</v>
      </c>
      <c r="AR115">
        <f t="shared" si="25"/>
        <v>700.34</v>
      </c>
      <c r="AS115">
        <f t="shared" si="21"/>
        <v>0</v>
      </c>
      <c r="AT115"/>
      <c r="AU115"/>
      <c r="AV115"/>
      <c r="AW115"/>
      <c r="AX115"/>
      <c r="AY115"/>
      <c r="AZ115"/>
      <c r="BA115"/>
      <c r="BB115"/>
      <c r="BC115"/>
      <c r="BD115"/>
      <c r="BE115"/>
    </row>
    <row r="116" spans="2:57" ht="27" customHeight="1" x14ac:dyDescent="0.25">
      <c r="B116" s="398">
        <v>5</v>
      </c>
      <c r="C116" s="454" t="s">
        <v>32</v>
      </c>
      <c r="D116" s="454" t="s">
        <v>79</v>
      </c>
      <c r="E116" s="446">
        <v>207</v>
      </c>
      <c r="F116" s="421">
        <v>9.5030000000000001</v>
      </c>
      <c r="G116" s="347">
        <v>195.32</v>
      </c>
      <c r="H116" s="348">
        <v>1.218</v>
      </c>
      <c r="I116" s="652">
        <v>207.01</v>
      </c>
      <c r="J116" s="807">
        <v>9.5169999999999995</v>
      </c>
      <c r="K116" s="523" t="str">
        <f t="shared" si="27"/>
        <v>Limpas</v>
      </c>
      <c r="L116" s="528"/>
      <c r="AB116"/>
      <c r="AC116"/>
      <c r="AD116"/>
      <c r="AE116"/>
      <c r="AF116"/>
      <c r="AG116"/>
      <c r="AH116"/>
      <c r="AI116"/>
      <c r="AJ116"/>
      <c r="AK116"/>
      <c r="AL116"/>
      <c r="AM116"/>
      <c r="AN116"/>
      <c r="AO116"/>
      <c r="AP116" s="363"/>
      <c r="AQ116" s="375">
        <f t="shared" si="22"/>
        <v>49</v>
      </c>
      <c r="AR116">
        <f t="shared" si="25"/>
        <v>713.12</v>
      </c>
      <c r="AS116">
        <f t="shared" si="21"/>
        <v>0</v>
      </c>
      <c r="AT116"/>
      <c r="AU116"/>
      <c r="AV116"/>
      <c r="AW116"/>
      <c r="AX116"/>
      <c r="AY116"/>
      <c r="AZ116"/>
      <c r="BA116"/>
      <c r="BB116"/>
      <c r="BC116"/>
      <c r="BD116"/>
      <c r="BE116"/>
    </row>
    <row r="117" spans="2:57" ht="27" customHeight="1" x14ac:dyDescent="0.25">
      <c r="B117" s="398">
        <v>6</v>
      </c>
      <c r="C117" s="454" t="s">
        <v>33</v>
      </c>
      <c r="D117" s="454" t="s">
        <v>79</v>
      </c>
      <c r="E117" s="446">
        <v>320</v>
      </c>
      <c r="F117" s="421">
        <v>5.1509999999999998</v>
      </c>
      <c r="G117" s="347">
        <v>306.97000000000003</v>
      </c>
      <c r="H117" s="348">
        <v>0.65700000000000003</v>
      </c>
      <c r="I117" s="652">
        <v>320</v>
      </c>
      <c r="J117" s="807">
        <v>5.1509999999999998</v>
      </c>
      <c r="K117" s="523" t="str">
        <f t="shared" si="27"/>
        <v/>
      </c>
      <c r="L117" s="529"/>
      <c r="AB117"/>
      <c r="AC117"/>
      <c r="AD117"/>
      <c r="AE117"/>
      <c r="AF117"/>
      <c r="AG117"/>
      <c r="AH117"/>
      <c r="AI117"/>
      <c r="AJ117"/>
      <c r="AK117"/>
      <c r="AL117"/>
      <c r="AM117"/>
      <c r="AN117"/>
      <c r="AO117"/>
      <c r="AP117" s="363"/>
      <c r="AQ117" s="375">
        <f t="shared" si="22"/>
        <v>50</v>
      </c>
      <c r="AR117">
        <f t="shared" si="25"/>
        <v>724.12</v>
      </c>
      <c r="AS117">
        <f t="shared" si="21"/>
        <v>0</v>
      </c>
      <c r="AT117"/>
      <c r="AU117"/>
      <c r="AV117"/>
      <c r="AW117"/>
      <c r="AX117"/>
      <c r="AY117"/>
      <c r="AZ117"/>
      <c r="BA117"/>
      <c r="BB117"/>
      <c r="BC117"/>
      <c r="BD117"/>
      <c r="BE117"/>
    </row>
    <row r="118" spans="2:57" ht="27" customHeight="1" x14ac:dyDescent="0.25">
      <c r="B118" s="398">
        <f t="shared" si="26"/>
        <v>7</v>
      </c>
      <c r="C118" s="454" t="s">
        <v>34</v>
      </c>
      <c r="D118" s="454" t="s">
        <v>80</v>
      </c>
      <c r="E118" s="446">
        <v>90</v>
      </c>
      <c r="F118" s="421">
        <v>689.09100000000001</v>
      </c>
      <c r="G118" s="347">
        <v>79.7</v>
      </c>
      <c r="H118" s="347">
        <v>281.37</v>
      </c>
      <c r="I118" s="652">
        <v>84.89</v>
      </c>
      <c r="J118" s="807">
        <v>456.34770104416333</v>
      </c>
      <c r="K118" s="523" t="str">
        <f t="shared" si="27"/>
        <v/>
      </c>
      <c r="L118" s="528"/>
      <c r="AB118"/>
      <c r="AC118"/>
      <c r="AD118"/>
      <c r="AE118"/>
      <c r="AF118"/>
      <c r="AG118"/>
      <c r="AH118"/>
      <c r="AI118"/>
      <c r="AJ118"/>
      <c r="AK118"/>
      <c r="AL118"/>
      <c r="AM118"/>
      <c r="AN118"/>
      <c r="AO118"/>
      <c r="AP118" s="363"/>
      <c r="AQ118" s="375">
        <f t="shared" si="22"/>
        <v>51</v>
      </c>
      <c r="AR118">
        <f t="shared" si="25"/>
        <v>742.39</v>
      </c>
      <c r="AS118">
        <f t="shared" si="21"/>
        <v>0</v>
      </c>
      <c r="AT118"/>
      <c r="AU118"/>
      <c r="AV118"/>
      <c r="AW118"/>
      <c r="AX118"/>
      <c r="AY118"/>
      <c r="AZ118"/>
      <c r="BA118"/>
      <c r="BB118"/>
      <c r="BC118"/>
      <c r="BD118"/>
      <c r="BE118"/>
    </row>
    <row r="119" spans="2:57" ht="27" customHeight="1" x14ac:dyDescent="0.2">
      <c r="B119" s="398">
        <f t="shared" si="26"/>
        <v>8</v>
      </c>
      <c r="C119" s="454" t="s">
        <v>35</v>
      </c>
      <c r="D119" s="454" t="s">
        <v>81</v>
      </c>
      <c r="E119" s="446">
        <v>120.5</v>
      </c>
      <c r="F119" s="421">
        <v>2.0920000000000001</v>
      </c>
      <c r="G119" s="347">
        <v>114.9</v>
      </c>
      <c r="H119" s="399">
        <v>0.22800000000000001</v>
      </c>
      <c r="I119" s="447">
        <v>119.42</v>
      </c>
      <c r="J119" s="807">
        <v>1.339</v>
      </c>
      <c r="K119" s="523" t="str">
        <f t="shared" si="27"/>
        <v/>
      </c>
      <c r="L119" s="530"/>
      <c r="AB119"/>
      <c r="AC119"/>
      <c r="AD119"/>
      <c r="AE119"/>
      <c r="AF119"/>
      <c r="AG119"/>
      <c r="AH119"/>
      <c r="AI119"/>
      <c r="AJ119"/>
      <c r="AK119"/>
      <c r="AL119"/>
      <c r="AM119"/>
      <c r="AN119"/>
      <c r="AO119"/>
      <c r="AP119" s="363"/>
      <c r="AQ119" s="375">
        <f t="shared" si="22"/>
        <v>52</v>
      </c>
      <c r="AR119">
        <f t="shared" si="25"/>
        <v>770.5</v>
      </c>
      <c r="AS119">
        <f t="shared" si="21"/>
        <v>0</v>
      </c>
      <c r="AT119"/>
      <c r="AU119"/>
      <c r="AV119"/>
      <c r="AW119"/>
      <c r="AX119"/>
      <c r="AY119"/>
      <c r="AZ119"/>
      <c r="BA119"/>
      <c r="BB119"/>
      <c r="BC119"/>
      <c r="BD119"/>
      <c r="BE119"/>
    </row>
    <row r="120" spans="2:57" ht="27" customHeight="1" x14ac:dyDescent="0.25">
      <c r="B120" s="398">
        <f t="shared" si="26"/>
        <v>9</v>
      </c>
      <c r="C120" s="454" t="s">
        <v>36</v>
      </c>
      <c r="D120" s="454" t="s">
        <v>81</v>
      </c>
      <c r="E120" s="446">
        <v>120.8</v>
      </c>
      <c r="F120" s="421">
        <v>2.3530000000000002</v>
      </c>
      <c r="G120" s="347">
        <v>113.61</v>
      </c>
      <c r="H120" s="399">
        <v>0.35699999999999998</v>
      </c>
      <c r="I120" s="652">
        <v>117.88</v>
      </c>
      <c r="J120" s="807">
        <v>0.67500000000000004</v>
      </c>
      <c r="K120" s="523" t="str">
        <f t="shared" si="27"/>
        <v/>
      </c>
      <c r="L120" s="528"/>
      <c r="AB120"/>
      <c r="AC120"/>
      <c r="AD120"/>
      <c r="AE120"/>
      <c r="AF120"/>
      <c r="AG120"/>
      <c r="AH120"/>
      <c r="AI120"/>
      <c r="AJ120"/>
      <c r="AK120"/>
      <c r="AL120"/>
      <c r="AM120"/>
      <c r="AN120"/>
      <c r="AO120"/>
      <c r="AP120" s="363"/>
      <c r="AQ120" s="375">
        <f t="shared" si="22"/>
        <v>53</v>
      </c>
      <c r="AR120">
        <f t="shared" si="25"/>
        <v>801.6</v>
      </c>
      <c r="AS120">
        <f t="shared" si="21"/>
        <v>0</v>
      </c>
      <c r="AT120"/>
      <c r="AU120"/>
      <c r="AV120"/>
      <c r="AW120"/>
      <c r="AX120"/>
      <c r="AY120"/>
      <c r="AZ120"/>
      <c r="BA120"/>
      <c r="BB120"/>
      <c r="BC120"/>
      <c r="BD120"/>
      <c r="BE120"/>
    </row>
    <row r="121" spans="2:57" ht="27" customHeight="1" x14ac:dyDescent="0.25">
      <c r="B121" s="398">
        <f t="shared" si="26"/>
        <v>10</v>
      </c>
      <c r="C121" s="454" t="s">
        <v>37</v>
      </c>
      <c r="D121" s="454" t="s">
        <v>82</v>
      </c>
      <c r="E121" s="446">
        <v>46.5</v>
      </c>
      <c r="F121" s="446">
        <v>4.5999999999999996</v>
      </c>
      <c r="G121" s="347">
        <v>43.1</v>
      </c>
      <c r="H121" s="347">
        <v>2.1640000000000001</v>
      </c>
      <c r="I121" s="652">
        <v>40.869999999999997</v>
      </c>
      <c r="J121" s="817">
        <v>0.79100000000000004</v>
      </c>
      <c r="K121" s="523" t="str">
        <f t="shared" si="27"/>
        <v/>
      </c>
      <c r="L121" s="528"/>
      <c r="AB121"/>
      <c r="AC121"/>
      <c r="AD121"/>
      <c r="AE121"/>
      <c r="AF121"/>
      <c r="AG121"/>
      <c r="AH121"/>
      <c r="AI121"/>
      <c r="AJ121"/>
      <c r="AK121"/>
      <c r="AL121"/>
      <c r="AM121"/>
      <c r="AN121"/>
      <c r="AO121"/>
      <c r="AP121" s="363"/>
      <c r="AQ121" s="375">
        <f t="shared" si="22"/>
        <v>54</v>
      </c>
      <c r="AR121">
        <f t="shared" si="25"/>
        <v>819.83</v>
      </c>
      <c r="AS121">
        <f t="shared" si="21"/>
        <v>0</v>
      </c>
      <c r="AT121"/>
      <c r="AU121"/>
      <c r="AV121"/>
      <c r="AW121"/>
      <c r="AX121"/>
      <c r="AY121"/>
      <c r="AZ121"/>
      <c r="BA121"/>
      <c r="BB121"/>
      <c r="BC121"/>
      <c r="BD121"/>
      <c r="BE121"/>
    </row>
    <row r="122" spans="2:57" ht="27" customHeight="1" x14ac:dyDescent="0.25">
      <c r="B122" s="398">
        <f t="shared" si="26"/>
        <v>11</v>
      </c>
      <c r="C122" s="454" t="s">
        <v>39</v>
      </c>
      <c r="D122" s="454" t="s">
        <v>82</v>
      </c>
      <c r="E122" s="446">
        <v>51.5</v>
      </c>
      <c r="F122" s="421">
        <v>2.4159999999999999</v>
      </c>
      <c r="G122" s="347">
        <v>46.86</v>
      </c>
      <c r="H122" s="347">
        <v>0.90600000000000003</v>
      </c>
      <c r="I122" s="653">
        <v>51.43</v>
      </c>
      <c r="J122" s="807">
        <v>2.548</v>
      </c>
      <c r="K122" s="523" t="str">
        <f t="shared" ref="K122:K148" si="28">IF(I122&gt;E122,"Limpas","")</f>
        <v/>
      </c>
      <c r="L122" s="528"/>
      <c r="AB122"/>
      <c r="AC122"/>
      <c r="AD122"/>
      <c r="AE122"/>
      <c r="AF122"/>
      <c r="AG122"/>
      <c r="AH122"/>
      <c r="AI122"/>
      <c r="AJ122"/>
      <c r="AK122"/>
      <c r="AL122"/>
      <c r="AM122"/>
      <c r="AN122"/>
      <c r="AO122"/>
      <c r="AP122" s="363"/>
      <c r="AQ122" s="375">
        <f t="shared" si="22"/>
        <v>55</v>
      </c>
      <c r="AR122">
        <f t="shared" si="25"/>
        <v>828.26</v>
      </c>
      <c r="AS122">
        <f t="shared" si="21"/>
        <v>0</v>
      </c>
      <c r="AT122"/>
      <c r="AU122"/>
      <c r="AV122"/>
      <c r="AW122"/>
      <c r="AX122"/>
      <c r="AY122"/>
      <c r="AZ122"/>
      <c r="BA122"/>
      <c r="BB122"/>
      <c r="BC122"/>
      <c r="BD122"/>
      <c r="BE122"/>
    </row>
    <row r="123" spans="2:57" ht="27" customHeight="1" x14ac:dyDescent="0.25">
      <c r="B123" s="398">
        <f t="shared" si="26"/>
        <v>12</v>
      </c>
      <c r="C123" s="454" t="s">
        <v>40</v>
      </c>
      <c r="D123" s="454" t="s">
        <v>80</v>
      </c>
      <c r="E123" s="446">
        <v>81</v>
      </c>
      <c r="F123" s="421">
        <v>1.093</v>
      </c>
      <c r="G123" s="347">
        <v>73.94</v>
      </c>
      <c r="H123" s="399">
        <v>0.18</v>
      </c>
      <c r="I123" s="652">
        <v>74.989999999999995</v>
      </c>
      <c r="J123" s="807">
        <v>0.311</v>
      </c>
      <c r="K123" s="523" t="str">
        <f t="shared" si="28"/>
        <v/>
      </c>
      <c r="L123" s="528"/>
      <c r="AB123"/>
      <c r="AC123"/>
      <c r="AD123"/>
      <c r="AE123"/>
      <c r="AF123"/>
      <c r="AG123"/>
      <c r="AH123"/>
      <c r="AI123"/>
      <c r="AJ123"/>
      <c r="AK123"/>
      <c r="AL123"/>
      <c r="AM123"/>
      <c r="AN123"/>
      <c r="AO123"/>
      <c r="AP123" s="363"/>
      <c r="AQ123" s="375">
        <f t="shared" si="22"/>
        <v>56</v>
      </c>
      <c r="AR123">
        <f t="shared" si="25"/>
        <v>840.04</v>
      </c>
      <c r="AS123">
        <f t="shared" si="21"/>
        <v>0</v>
      </c>
      <c r="AT123"/>
      <c r="AU123"/>
      <c r="AV123"/>
      <c r="AW123"/>
      <c r="AX123"/>
      <c r="AY123"/>
      <c r="AZ123"/>
      <c r="BA123"/>
      <c r="BB123"/>
      <c r="BC123"/>
      <c r="BD123"/>
      <c r="BE123"/>
    </row>
    <row r="124" spans="2:57" ht="27" customHeight="1" x14ac:dyDescent="0.25">
      <c r="B124" s="398">
        <f t="shared" si="26"/>
        <v>13</v>
      </c>
      <c r="C124" s="454" t="s">
        <v>41</v>
      </c>
      <c r="D124" s="454" t="s">
        <v>80</v>
      </c>
      <c r="E124" s="446">
        <v>82.8</v>
      </c>
      <c r="F124" s="421">
        <v>0.42899999999999999</v>
      </c>
      <c r="G124" s="347">
        <v>80.02</v>
      </c>
      <c r="H124" s="399">
        <v>8.4000000000000005E-2</v>
      </c>
      <c r="I124" s="652">
        <v>78</v>
      </c>
      <c r="J124" s="807">
        <v>0</v>
      </c>
      <c r="K124" s="523" t="str">
        <f t="shared" si="28"/>
        <v/>
      </c>
      <c r="L124" s="528"/>
      <c r="AB124"/>
      <c r="AC124"/>
      <c r="AD124"/>
      <c r="AE124"/>
      <c r="AF124"/>
      <c r="AG124"/>
      <c r="AH124"/>
      <c r="AI124"/>
      <c r="AJ124"/>
      <c r="AK124"/>
      <c r="AL124"/>
      <c r="AM124"/>
      <c r="AN124"/>
      <c r="AO124"/>
      <c r="AP124" s="363"/>
      <c r="AQ124" s="375">
        <f t="shared" si="22"/>
        <v>57</v>
      </c>
      <c r="AR124">
        <f t="shared" si="25"/>
        <v>855.1</v>
      </c>
      <c r="AS124">
        <f t="shared" si="21"/>
        <v>0</v>
      </c>
      <c r="AT124"/>
      <c r="AU124"/>
      <c r="AV124"/>
      <c r="AW124"/>
      <c r="AX124"/>
      <c r="AY124"/>
      <c r="AZ124"/>
      <c r="BA124"/>
      <c r="BB124"/>
      <c r="BC124"/>
      <c r="BD124"/>
      <c r="BE124"/>
    </row>
    <row r="125" spans="2:57" ht="27" customHeight="1" x14ac:dyDescent="0.25">
      <c r="B125" s="398">
        <f t="shared" si="26"/>
        <v>14</v>
      </c>
      <c r="C125" s="454" t="s">
        <v>42</v>
      </c>
      <c r="D125" s="454" t="s">
        <v>80</v>
      </c>
      <c r="E125" s="446">
        <v>69.95</v>
      </c>
      <c r="F125" s="421">
        <v>0.25</v>
      </c>
      <c r="G125" s="347">
        <v>67.95</v>
      </c>
      <c r="H125" s="347">
        <v>4.9000000000000002E-2</v>
      </c>
      <c r="I125" s="652">
        <v>62.83</v>
      </c>
      <c r="J125" s="807">
        <v>0.128</v>
      </c>
      <c r="K125" s="523" t="str">
        <f t="shared" si="28"/>
        <v/>
      </c>
      <c r="L125" s="528"/>
      <c r="AB125"/>
      <c r="AC125"/>
      <c r="AD125"/>
      <c r="AE125"/>
      <c r="AF125"/>
      <c r="AG125"/>
      <c r="AH125"/>
      <c r="AI125"/>
      <c r="AJ125"/>
      <c r="AK125"/>
      <c r="AL125"/>
      <c r="AM125"/>
      <c r="AN125"/>
      <c r="AO125"/>
      <c r="AP125" s="363"/>
      <c r="AQ125" s="375">
        <f t="shared" si="22"/>
        <v>58</v>
      </c>
      <c r="AR125">
        <f t="shared" si="25"/>
        <v>868.26</v>
      </c>
      <c r="AS125">
        <f t="shared" si="21"/>
        <v>0</v>
      </c>
      <c r="AT125"/>
      <c r="AU125"/>
      <c r="AV125"/>
      <c r="AW125"/>
      <c r="AX125"/>
      <c r="AY125"/>
      <c r="AZ125"/>
      <c r="BA125"/>
      <c r="BB125"/>
      <c r="BC125"/>
      <c r="BD125"/>
      <c r="BE125"/>
    </row>
    <row r="126" spans="2:57" ht="27" customHeight="1" x14ac:dyDescent="0.25">
      <c r="B126" s="398">
        <f t="shared" si="26"/>
        <v>15</v>
      </c>
      <c r="C126" s="454" t="s">
        <v>43</v>
      </c>
      <c r="D126" s="454" t="s">
        <v>80</v>
      </c>
      <c r="E126" s="446">
        <v>48.2</v>
      </c>
      <c r="F126" s="421">
        <v>0.38500000000000001</v>
      </c>
      <c r="G126" s="347">
        <v>44.16</v>
      </c>
      <c r="H126" s="399">
        <v>8.9999999999999993E-3</v>
      </c>
      <c r="I126" s="652">
        <v>46.9</v>
      </c>
      <c r="J126" s="807">
        <v>0.38100000000000001</v>
      </c>
      <c r="K126" s="523" t="str">
        <f t="shared" si="28"/>
        <v/>
      </c>
      <c r="L126" s="528"/>
      <c r="AB126"/>
      <c r="AC126"/>
      <c r="AD126"/>
      <c r="AE126"/>
      <c r="AF126"/>
      <c r="AG126"/>
      <c r="AH126"/>
      <c r="AI126"/>
      <c r="AJ126"/>
      <c r="AK126"/>
      <c r="AL126"/>
      <c r="AM126"/>
      <c r="AN126"/>
      <c r="AO126"/>
      <c r="AP126" s="363"/>
      <c r="AQ126" s="375">
        <f t="shared" si="22"/>
        <v>59</v>
      </c>
      <c r="AR126">
        <f t="shared" si="25"/>
        <v>889.62</v>
      </c>
      <c r="AS126">
        <f t="shared" si="21"/>
        <v>0</v>
      </c>
      <c r="AT126"/>
      <c r="AU126"/>
      <c r="AV126"/>
      <c r="AW126"/>
      <c r="AX126"/>
      <c r="AY126"/>
      <c r="AZ126"/>
      <c r="BA126"/>
      <c r="BB126"/>
      <c r="BC126"/>
      <c r="BD126"/>
      <c r="BE126"/>
    </row>
    <row r="127" spans="2:57" ht="27" customHeight="1" x14ac:dyDescent="0.2">
      <c r="B127" s="398">
        <f t="shared" si="26"/>
        <v>16</v>
      </c>
      <c r="C127" s="454" t="s">
        <v>83</v>
      </c>
      <c r="D127" s="454" t="s">
        <v>44</v>
      </c>
      <c r="E127" s="446">
        <v>136</v>
      </c>
      <c r="F127" s="421">
        <v>440</v>
      </c>
      <c r="G127" s="347">
        <v>127.3</v>
      </c>
      <c r="H127" s="347">
        <v>64.974000000000004</v>
      </c>
      <c r="I127" s="347">
        <v>135.79</v>
      </c>
      <c r="J127" s="807">
        <v>354.79771790000001</v>
      </c>
      <c r="K127" s="523" t="str">
        <f t="shared" si="28"/>
        <v/>
      </c>
      <c r="L127" s="531"/>
      <c r="M127" s="226"/>
      <c r="AB127"/>
      <c r="AC127"/>
      <c r="AD127"/>
      <c r="AE127"/>
      <c r="AF127"/>
      <c r="AG127"/>
      <c r="AH127"/>
      <c r="AI127"/>
      <c r="AJ127"/>
      <c r="AK127"/>
      <c r="AL127"/>
      <c r="AM127"/>
      <c r="AN127"/>
      <c r="AO127"/>
      <c r="AP127" s="363"/>
      <c r="AQ127" s="375">
        <f>AQ126+2</f>
        <v>61</v>
      </c>
      <c r="AR127">
        <f t="shared" ref="AR127:AR152" si="29">IF(AE7="tad","tad",AE7)</f>
        <v>908.93</v>
      </c>
      <c r="AS127">
        <f>IF(COUNT(AQ127:AR127)=2,0,-AP$49/500)</f>
        <v>0</v>
      </c>
      <c r="AT127"/>
      <c r="AU127"/>
      <c r="AV127"/>
      <c r="AW127"/>
      <c r="AX127"/>
      <c r="AY127"/>
      <c r="AZ127"/>
      <c r="BA127"/>
      <c r="BB127"/>
      <c r="BC127"/>
      <c r="BD127"/>
      <c r="BE127"/>
    </row>
    <row r="128" spans="2:57" ht="27" customHeight="1" x14ac:dyDescent="0.2">
      <c r="B128" s="398">
        <f t="shared" si="26"/>
        <v>17</v>
      </c>
      <c r="C128" s="454" t="s">
        <v>45</v>
      </c>
      <c r="D128" s="454" t="s">
        <v>44</v>
      </c>
      <c r="E128" s="446">
        <v>113.5</v>
      </c>
      <c r="F128" s="421">
        <v>3.7519999999999998</v>
      </c>
      <c r="G128" s="347">
        <v>104.42</v>
      </c>
      <c r="H128" s="347">
        <v>0.54500000000000004</v>
      </c>
      <c r="I128" s="348">
        <v>112.17</v>
      </c>
      <c r="J128" s="807">
        <v>0.39964142000000002</v>
      </c>
      <c r="K128" s="523">
        <v>480.10199999999998</v>
      </c>
      <c r="L128" s="531"/>
      <c r="M128" s="226"/>
      <c r="AB128"/>
      <c r="AC128"/>
      <c r="AD128"/>
      <c r="AE128"/>
      <c r="AF128"/>
      <c r="AG128"/>
      <c r="AH128"/>
      <c r="AI128"/>
      <c r="AJ128"/>
      <c r="AK128"/>
      <c r="AL128"/>
      <c r="AM128"/>
      <c r="AN128"/>
      <c r="AO128"/>
      <c r="AP128" s="363"/>
      <c r="AQ128" s="375">
        <f>AQ127+1</f>
        <v>62</v>
      </c>
      <c r="AR128">
        <f t="shared" si="29"/>
        <v>933.5</v>
      </c>
      <c r="AS128">
        <f t="shared" si="21"/>
        <v>0</v>
      </c>
      <c r="AT128"/>
      <c r="AU128"/>
      <c r="AV128"/>
      <c r="AW128"/>
      <c r="AX128"/>
      <c r="AY128"/>
      <c r="AZ128"/>
      <c r="BA128"/>
      <c r="BB128"/>
      <c r="BC128"/>
      <c r="BD128"/>
      <c r="BE128"/>
    </row>
    <row r="129" spans="2:57" ht="27" customHeight="1" x14ac:dyDescent="0.2">
      <c r="B129" s="398">
        <f t="shared" si="26"/>
        <v>18</v>
      </c>
      <c r="C129" s="454" t="s">
        <v>46</v>
      </c>
      <c r="D129" s="454" t="s">
        <v>44</v>
      </c>
      <c r="E129" s="446">
        <v>225.4</v>
      </c>
      <c r="F129" s="446">
        <v>1.2</v>
      </c>
      <c r="G129" s="347">
        <v>223.12</v>
      </c>
      <c r="H129" s="347">
        <v>7.0999999999999994E-2</v>
      </c>
      <c r="I129" s="347">
        <v>202.3</v>
      </c>
      <c r="J129" s="807">
        <v>0.18823000000000001</v>
      </c>
      <c r="K129" s="523" t="str">
        <f t="shared" si="28"/>
        <v/>
      </c>
      <c r="L129" s="531"/>
      <c r="M129" s="226"/>
      <c r="AB129"/>
      <c r="AC129"/>
      <c r="AD129"/>
      <c r="AE129"/>
      <c r="AF129"/>
      <c r="AG129"/>
      <c r="AH129"/>
      <c r="AI129"/>
      <c r="AJ129"/>
      <c r="AK129"/>
      <c r="AL129"/>
      <c r="AM129"/>
      <c r="AN129"/>
      <c r="AO129"/>
      <c r="AP129" s="363"/>
      <c r="AQ129" s="375">
        <f>AQ128+1</f>
        <v>63</v>
      </c>
      <c r="AR129">
        <f t="shared" si="29"/>
        <v>960.8</v>
      </c>
      <c r="AS129">
        <f t="shared" si="21"/>
        <v>0</v>
      </c>
      <c r="AT129"/>
      <c r="AU129"/>
      <c r="AV129"/>
      <c r="AW129"/>
      <c r="AX129"/>
      <c r="AY129"/>
      <c r="AZ129"/>
      <c r="BA129"/>
      <c r="BB129"/>
      <c r="BC129"/>
      <c r="BD129"/>
      <c r="BE129"/>
    </row>
    <row r="130" spans="2:57" ht="27" customHeight="1" x14ac:dyDescent="0.2">
      <c r="B130" s="398">
        <f t="shared" si="26"/>
        <v>19</v>
      </c>
      <c r="C130" s="454" t="s">
        <v>47</v>
      </c>
      <c r="D130" s="454" t="s">
        <v>44</v>
      </c>
      <c r="E130" s="446">
        <v>224</v>
      </c>
      <c r="F130" s="421">
        <v>0.6</v>
      </c>
      <c r="G130" s="347">
        <v>215.98</v>
      </c>
      <c r="H130" s="347">
        <v>0.105</v>
      </c>
      <c r="I130" s="348">
        <v>223.33</v>
      </c>
      <c r="J130" s="808">
        <v>0.53300000000000003</v>
      </c>
      <c r="K130" s="523" t="str">
        <f t="shared" si="28"/>
        <v/>
      </c>
      <c r="L130" s="532"/>
      <c r="M130" s="226"/>
      <c r="AB130"/>
      <c r="AC130"/>
      <c r="AD130"/>
      <c r="AE130"/>
      <c r="AF130"/>
      <c r="AG130"/>
      <c r="AH130"/>
      <c r="AI130"/>
      <c r="AJ130"/>
      <c r="AK130"/>
      <c r="AL130"/>
      <c r="AM130"/>
      <c r="AN130"/>
      <c r="AO130"/>
      <c r="AP130" s="363"/>
      <c r="AQ130" s="375">
        <f>AQ129+1</f>
        <v>64</v>
      </c>
      <c r="AR130">
        <f t="shared" si="29"/>
        <v>984.16</v>
      </c>
      <c r="AS130">
        <f t="shared" si="21"/>
        <v>0</v>
      </c>
      <c r="AT130"/>
      <c r="AU130"/>
      <c r="AV130"/>
      <c r="AW130"/>
      <c r="AX130"/>
      <c r="AY130"/>
      <c r="AZ130"/>
      <c r="BA130"/>
      <c r="BB130"/>
      <c r="BC130"/>
      <c r="BD130"/>
      <c r="BE130"/>
    </row>
    <row r="131" spans="2:57" ht="27" customHeight="1" x14ac:dyDescent="0.2">
      <c r="B131" s="398">
        <f t="shared" si="26"/>
        <v>20</v>
      </c>
      <c r="C131" s="454" t="s">
        <v>48</v>
      </c>
      <c r="D131" s="454" t="s">
        <v>44</v>
      </c>
      <c r="E131" s="446">
        <v>196</v>
      </c>
      <c r="F131" s="421">
        <v>1.5820000000000001</v>
      </c>
      <c r="G131" s="347">
        <v>189.04</v>
      </c>
      <c r="H131" s="347">
        <v>0.41899999999999998</v>
      </c>
      <c r="I131" s="348">
        <v>194.53</v>
      </c>
      <c r="J131" s="807">
        <v>0.28868060000000001</v>
      </c>
      <c r="K131" s="523" t="str">
        <f t="shared" si="28"/>
        <v/>
      </c>
      <c r="L131" s="531"/>
      <c r="M131" s="226"/>
      <c r="AB131"/>
      <c r="AC131"/>
      <c r="AD131"/>
      <c r="AE131"/>
      <c r="AF131"/>
      <c r="AG131"/>
      <c r="AH131"/>
      <c r="AI131"/>
      <c r="AJ131"/>
      <c r="AK131"/>
      <c r="AL131"/>
      <c r="AM131"/>
      <c r="AN131"/>
      <c r="AO131"/>
      <c r="AP131" s="363"/>
      <c r="AQ131" s="375">
        <f>AQ130+1</f>
        <v>65</v>
      </c>
      <c r="AR131">
        <f t="shared" si="29"/>
        <v>1015.13</v>
      </c>
      <c r="AS131">
        <f t="shared" si="21"/>
        <v>0</v>
      </c>
      <c r="AT131"/>
      <c r="AU131"/>
      <c r="AV131"/>
      <c r="AW131"/>
      <c r="AX131"/>
      <c r="AY131"/>
      <c r="AZ131"/>
      <c r="BA131"/>
      <c r="BB131"/>
      <c r="BC131"/>
      <c r="BD131"/>
      <c r="BE131"/>
    </row>
    <row r="132" spans="2:57" ht="27" customHeight="1" x14ac:dyDescent="0.2">
      <c r="B132" s="398">
        <f t="shared" si="26"/>
        <v>21</v>
      </c>
      <c r="C132" s="454" t="s">
        <v>49</v>
      </c>
      <c r="D132" s="454" t="s">
        <v>44</v>
      </c>
      <c r="E132" s="446">
        <v>174</v>
      </c>
      <c r="F132" s="421">
        <v>0.47899999999999998</v>
      </c>
      <c r="G132" s="347">
        <v>172.38</v>
      </c>
      <c r="H132" s="347">
        <v>7.3999999999999996E-2</v>
      </c>
      <c r="I132" s="348">
        <v>169.8</v>
      </c>
      <c r="J132" s="807">
        <v>0.11551599999999999</v>
      </c>
      <c r="K132" s="523">
        <v>226.68</v>
      </c>
      <c r="L132" s="531"/>
      <c r="M132" s="226"/>
      <c r="AB132"/>
      <c r="AC132"/>
      <c r="AD132"/>
      <c r="AE132"/>
      <c r="AF132"/>
      <c r="AG132"/>
      <c r="AH132"/>
      <c r="AI132"/>
      <c r="AJ132"/>
      <c r="AK132"/>
      <c r="AL132"/>
      <c r="AM132"/>
      <c r="AN132"/>
      <c r="AO132"/>
      <c r="AP132" s="363"/>
      <c r="AQ132" s="375">
        <f t="shared" ref="AQ132:AQ198" si="30">AQ131+1</f>
        <v>66</v>
      </c>
      <c r="AR132">
        <f t="shared" si="29"/>
        <v>1039.57</v>
      </c>
      <c r="AS132">
        <f t="shared" ref="AS132:AS198" si="31">IF(COUNT(AQ132:AR132)=2,0,-AP$49/500)</f>
        <v>0</v>
      </c>
      <c r="AT132"/>
      <c r="AU132"/>
      <c r="AV132"/>
      <c r="AW132"/>
      <c r="AX132"/>
      <c r="AY132"/>
      <c r="AZ132"/>
      <c r="BA132"/>
      <c r="BB132"/>
      <c r="BC132"/>
      <c r="BD132"/>
      <c r="BE132"/>
    </row>
    <row r="133" spans="2:57" ht="27" customHeight="1" x14ac:dyDescent="0.2">
      <c r="B133" s="395">
        <f t="shared" si="26"/>
        <v>22</v>
      </c>
      <c r="C133" s="396" t="s">
        <v>50</v>
      </c>
      <c r="D133" s="396" t="s">
        <v>44</v>
      </c>
      <c r="E133" s="422">
        <v>229.1</v>
      </c>
      <c r="F133" s="449">
        <v>0.79200000000000004</v>
      </c>
      <c r="G133" s="346">
        <v>222.84</v>
      </c>
      <c r="H133" s="346">
        <v>0.28000000000000003</v>
      </c>
      <c r="I133" s="492">
        <v>225.82</v>
      </c>
      <c r="J133" s="809">
        <v>0.51250200000000001</v>
      </c>
      <c r="K133" s="523">
        <v>26.036999999999999</v>
      </c>
      <c r="L133" s="532"/>
      <c r="M133" s="226"/>
      <c r="AB133"/>
      <c r="AC133"/>
      <c r="AD133"/>
      <c r="AE133"/>
      <c r="AF133"/>
      <c r="AG133"/>
      <c r="AH133"/>
      <c r="AI133"/>
      <c r="AJ133"/>
      <c r="AK133"/>
      <c r="AL133"/>
      <c r="AM133"/>
      <c r="AN133"/>
      <c r="AO133"/>
      <c r="AP133" s="363"/>
      <c r="AQ133" s="375">
        <f t="shared" si="30"/>
        <v>67</v>
      </c>
      <c r="AR133">
        <f t="shared" si="29"/>
        <v>1074.3900000000001</v>
      </c>
      <c r="AS133">
        <f t="shared" si="31"/>
        <v>0</v>
      </c>
      <c r="AT133"/>
      <c r="AU133"/>
      <c r="AV133"/>
      <c r="AW133"/>
      <c r="AX133"/>
      <c r="AY133"/>
      <c r="AZ133"/>
      <c r="BA133"/>
      <c r="BB133"/>
      <c r="BC133"/>
      <c r="BD133"/>
      <c r="BE133"/>
    </row>
    <row r="134" spans="2:57" ht="27" customHeight="1" x14ac:dyDescent="0.2">
      <c r="B134" s="398">
        <f t="shared" si="26"/>
        <v>23</v>
      </c>
      <c r="C134" s="454" t="s">
        <v>51</v>
      </c>
      <c r="D134" s="454" t="s">
        <v>44</v>
      </c>
      <c r="E134" s="446">
        <v>249</v>
      </c>
      <c r="F134" s="421">
        <v>2.1240000000000001</v>
      </c>
      <c r="G134" s="347">
        <v>239.52</v>
      </c>
      <c r="H134" s="347">
        <v>0.187</v>
      </c>
      <c r="I134" s="348">
        <v>243.15</v>
      </c>
      <c r="J134" s="808">
        <v>0.64146000000000003</v>
      </c>
      <c r="K134" s="523">
        <v>235.744</v>
      </c>
      <c r="L134" s="532"/>
      <c r="M134" s="226"/>
      <c r="AB134"/>
      <c r="AC134"/>
      <c r="AD134"/>
      <c r="AE134"/>
      <c r="AF134"/>
      <c r="AG134"/>
      <c r="AH134"/>
      <c r="AI134"/>
      <c r="AJ134"/>
      <c r="AK134"/>
      <c r="AL134"/>
      <c r="AM134"/>
      <c r="AN134"/>
      <c r="AO134"/>
      <c r="AP134" s="363"/>
      <c r="AQ134" s="375">
        <f t="shared" si="30"/>
        <v>68</v>
      </c>
      <c r="AR134">
        <f t="shared" si="29"/>
        <v>1107.1300000000001</v>
      </c>
      <c r="AS134">
        <f t="shared" si="31"/>
        <v>0</v>
      </c>
      <c r="AT134"/>
      <c r="AU134"/>
      <c r="AV134"/>
      <c r="AW134"/>
      <c r="AX134"/>
      <c r="AY134"/>
      <c r="AZ134"/>
      <c r="BA134"/>
      <c r="BB134"/>
      <c r="BC134"/>
      <c r="BD134"/>
      <c r="BE134"/>
    </row>
    <row r="135" spans="2:57" ht="27" customHeight="1" x14ac:dyDescent="0.2">
      <c r="B135" s="398">
        <f t="shared" si="26"/>
        <v>24</v>
      </c>
      <c r="C135" s="454" t="s">
        <v>52</v>
      </c>
      <c r="D135" s="454" t="s">
        <v>84</v>
      </c>
      <c r="E135" s="446">
        <v>164.75</v>
      </c>
      <c r="F135" s="446">
        <v>5</v>
      </c>
      <c r="G135" s="347">
        <v>154.43</v>
      </c>
      <c r="H135" s="347">
        <v>0.503</v>
      </c>
      <c r="I135" s="347">
        <v>149.51</v>
      </c>
      <c r="J135" s="808">
        <v>3.1895257099999998</v>
      </c>
      <c r="K135" s="523" t="str">
        <f t="shared" si="28"/>
        <v/>
      </c>
      <c r="L135" s="532"/>
      <c r="M135" s="226"/>
      <c r="AB135"/>
      <c r="AC135"/>
      <c r="AD135"/>
      <c r="AE135"/>
      <c r="AF135"/>
      <c r="AG135"/>
      <c r="AH135"/>
      <c r="AI135"/>
      <c r="AJ135"/>
      <c r="AK135"/>
      <c r="AL135"/>
      <c r="AM135"/>
      <c r="AN135"/>
      <c r="AO135"/>
      <c r="AP135" s="363"/>
      <c r="AQ135" s="375">
        <f t="shared" si="30"/>
        <v>69</v>
      </c>
      <c r="AR135">
        <f t="shared" si="29"/>
        <v>1129.31</v>
      </c>
      <c r="AS135">
        <f t="shared" si="31"/>
        <v>0</v>
      </c>
      <c r="AT135"/>
      <c r="AU135"/>
      <c r="AV135"/>
      <c r="AW135"/>
      <c r="AX135"/>
      <c r="AY135"/>
      <c r="AZ135"/>
      <c r="BA135"/>
      <c r="BB135"/>
      <c r="BC135"/>
      <c r="BD135"/>
      <c r="BE135"/>
    </row>
    <row r="136" spans="2:57" ht="27" customHeight="1" x14ac:dyDescent="0.2">
      <c r="B136" s="398">
        <f t="shared" si="26"/>
        <v>25</v>
      </c>
      <c r="C136" s="454" t="s">
        <v>53</v>
      </c>
      <c r="D136" s="454" t="s">
        <v>84</v>
      </c>
      <c r="E136" s="446">
        <v>179.1</v>
      </c>
      <c r="F136" s="421">
        <v>4.2</v>
      </c>
      <c r="G136" s="348">
        <v>166.32</v>
      </c>
      <c r="H136" s="348">
        <v>0.39800000000000002</v>
      </c>
      <c r="I136" s="347">
        <v>231.18</v>
      </c>
      <c r="J136" s="807">
        <v>2.5834432399999998</v>
      </c>
      <c r="K136" s="523">
        <v>500</v>
      </c>
      <c r="L136" s="531"/>
      <c r="M136" s="226"/>
      <c r="AB136"/>
      <c r="AC136"/>
      <c r="AD136"/>
      <c r="AE136"/>
      <c r="AF136"/>
      <c r="AG136"/>
      <c r="AH136"/>
      <c r="AI136"/>
      <c r="AJ136"/>
      <c r="AK136"/>
      <c r="AL136"/>
      <c r="AM136"/>
      <c r="AN136"/>
      <c r="AO136"/>
      <c r="AP136" s="363"/>
      <c r="AQ136" s="375">
        <f t="shared" si="30"/>
        <v>70</v>
      </c>
      <c r="AR136">
        <f t="shared" si="29"/>
        <v>1158.6400000000001</v>
      </c>
      <c r="AS136">
        <f t="shared" si="31"/>
        <v>0</v>
      </c>
      <c r="AT136"/>
      <c r="AU136"/>
      <c r="AV136"/>
      <c r="AW136"/>
      <c r="AX136"/>
      <c r="AY136"/>
      <c r="AZ136"/>
      <c r="BA136"/>
      <c r="BB136"/>
      <c r="BC136"/>
      <c r="BD136"/>
      <c r="BE136"/>
    </row>
    <row r="137" spans="2:57" ht="27" customHeight="1" x14ac:dyDescent="0.2">
      <c r="B137" s="398">
        <f t="shared" si="26"/>
        <v>26</v>
      </c>
      <c r="C137" s="454" t="s">
        <v>54</v>
      </c>
      <c r="D137" s="454" t="s">
        <v>85</v>
      </c>
      <c r="E137" s="446">
        <v>325.56</v>
      </c>
      <c r="F137" s="421">
        <v>0.70099999999999996</v>
      </c>
      <c r="G137" s="348">
        <v>315.85000000000002</v>
      </c>
      <c r="H137" s="348">
        <v>0.114</v>
      </c>
      <c r="I137" s="348">
        <v>324.86</v>
      </c>
      <c r="J137" s="808">
        <v>0.63657609999999998</v>
      </c>
      <c r="K137" s="523" t="str">
        <f t="shared" si="28"/>
        <v/>
      </c>
      <c r="L137" s="532"/>
      <c r="M137" s="226"/>
      <c r="AB137"/>
      <c r="AC137"/>
      <c r="AD137"/>
      <c r="AE137"/>
      <c r="AF137"/>
      <c r="AG137"/>
      <c r="AH137"/>
      <c r="AI137"/>
      <c r="AJ137"/>
      <c r="AK137"/>
      <c r="AL137"/>
      <c r="AM137"/>
      <c r="AN137"/>
      <c r="AO137"/>
      <c r="AP137" s="363"/>
      <c r="AQ137" s="375">
        <f t="shared" si="30"/>
        <v>71</v>
      </c>
      <c r="AR137">
        <f t="shared" si="29"/>
        <v>1170.1500000000001</v>
      </c>
      <c r="AS137">
        <f t="shared" si="31"/>
        <v>0</v>
      </c>
      <c r="AT137"/>
      <c r="AU137"/>
      <c r="AV137"/>
      <c r="AW137"/>
      <c r="AX137"/>
      <c r="AY137"/>
      <c r="AZ137"/>
      <c r="BA137"/>
      <c r="BB137"/>
      <c r="BC137"/>
      <c r="BD137"/>
      <c r="BE137"/>
    </row>
    <row r="138" spans="2:57" ht="27" customHeight="1" x14ac:dyDescent="0.2">
      <c r="B138" s="398">
        <f t="shared" si="26"/>
        <v>27</v>
      </c>
      <c r="C138" s="454" t="s">
        <v>55</v>
      </c>
      <c r="D138" s="454" t="s">
        <v>85</v>
      </c>
      <c r="E138" s="446">
        <v>129.19999999999999</v>
      </c>
      <c r="F138" s="421">
        <v>0.5</v>
      </c>
      <c r="G138" s="347">
        <v>123.6</v>
      </c>
      <c r="H138" s="347">
        <v>2.9000000000000001E-2</v>
      </c>
      <c r="I138" s="348">
        <v>129.19999999999999</v>
      </c>
      <c r="J138" s="807">
        <v>0.5</v>
      </c>
      <c r="K138" s="523">
        <v>275.45699999999999</v>
      </c>
      <c r="L138" s="531"/>
      <c r="M138" s="226"/>
      <c r="AB138"/>
      <c r="AC138"/>
      <c r="AD138"/>
      <c r="AE138"/>
      <c r="AF138"/>
      <c r="AG138"/>
      <c r="AH138"/>
      <c r="AI138"/>
      <c r="AJ138"/>
      <c r="AK138"/>
      <c r="AL138"/>
      <c r="AM138"/>
      <c r="AN138"/>
      <c r="AO138"/>
      <c r="AP138" s="363"/>
      <c r="AQ138" s="375">
        <f t="shared" si="30"/>
        <v>72</v>
      </c>
      <c r="AR138">
        <f t="shared" si="29"/>
        <v>1178.8399999999999</v>
      </c>
      <c r="AS138">
        <f t="shared" si="31"/>
        <v>0</v>
      </c>
      <c r="AT138"/>
      <c r="AU138"/>
      <c r="AV138"/>
      <c r="AW138"/>
      <c r="AX138"/>
      <c r="AY138"/>
      <c r="AZ138"/>
      <c r="BA138"/>
      <c r="BB138"/>
      <c r="BC138"/>
      <c r="BD138"/>
      <c r="BE138"/>
    </row>
    <row r="139" spans="2:57" ht="27" customHeight="1" x14ac:dyDescent="0.2">
      <c r="B139" s="398">
        <f t="shared" si="26"/>
        <v>28</v>
      </c>
      <c r="C139" s="454" t="s">
        <v>56</v>
      </c>
      <c r="D139" s="454" t="s">
        <v>85</v>
      </c>
      <c r="E139" s="446">
        <v>282.77999999999997</v>
      </c>
      <c r="F139" s="421">
        <v>0.51300000000000001</v>
      </c>
      <c r="G139" s="347">
        <v>277.87</v>
      </c>
      <c r="H139" s="347">
        <v>7.3999999999999996E-2</v>
      </c>
      <c r="I139" s="347">
        <v>282.61</v>
      </c>
      <c r="J139" s="807">
        <v>0.49135119999999999</v>
      </c>
      <c r="K139" s="523" t="str">
        <f t="shared" si="28"/>
        <v/>
      </c>
      <c r="L139" s="531"/>
      <c r="M139" s="226"/>
      <c r="AB139"/>
      <c r="AC139"/>
      <c r="AD139"/>
      <c r="AE139"/>
      <c r="AF139"/>
      <c r="AG139"/>
      <c r="AH139"/>
      <c r="AI139"/>
      <c r="AJ139"/>
      <c r="AK139"/>
      <c r="AL139"/>
      <c r="AM139"/>
      <c r="AN139"/>
      <c r="AO139"/>
      <c r="AP139" s="363"/>
      <c r="AQ139" s="375">
        <f t="shared" si="30"/>
        <v>73</v>
      </c>
      <c r="AR139">
        <f t="shared" si="29"/>
        <v>1173.79</v>
      </c>
      <c r="AS139">
        <f t="shared" si="31"/>
        <v>0</v>
      </c>
      <c r="AT139"/>
      <c r="AU139"/>
      <c r="AV139"/>
      <c r="AW139"/>
      <c r="AX139"/>
      <c r="AY139"/>
      <c r="AZ139"/>
      <c r="BA139"/>
      <c r="BB139"/>
      <c r="BC139"/>
      <c r="BD139"/>
      <c r="BE139"/>
    </row>
    <row r="140" spans="2:57" ht="27" customHeight="1" x14ac:dyDescent="0.2">
      <c r="B140" s="398">
        <f t="shared" si="26"/>
        <v>29</v>
      </c>
      <c r="C140" s="454" t="s">
        <v>57</v>
      </c>
      <c r="D140" s="454" t="s">
        <v>85</v>
      </c>
      <c r="E140" s="446">
        <v>99</v>
      </c>
      <c r="F140" s="421">
        <v>2.6110000000000002</v>
      </c>
      <c r="G140" s="347">
        <v>91.8</v>
      </c>
      <c r="H140" s="347">
        <v>0.17</v>
      </c>
      <c r="I140" s="348">
        <v>98.85</v>
      </c>
      <c r="J140" s="808">
        <v>0.96729815500000005</v>
      </c>
      <c r="K140" s="523" t="str">
        <f t="shared" si="28"/>
        <v/>
      </c>
      <c r="L140" s="532"/>
      <c r="M140" s="226"/>
      <c r="AB140"/>
      <c r="AC140"/>
      <c r="AD140"/>
      <c r="AE140"/>
      <c r="AF140"/>
      <c r="AG140"/>
      <c r="AH140"/>
      <c r="AI140"/>
      <c r="AJ140"/>
      <c r="AK140"/>
      <c r="AL140"/>
      <c r="AM140"/>
      <c r="AN140"/>
      <c r="AO140"/>
      <c r="AP140" s="363"/>
      <c r="AQ140" s="375">
        <f t="shared" si="30"/>
        <v>74</v>
      </c>
      <c r="AR140">
        <f t="shared" si="29"/>
        <v>1172.98</v>
      </c>
      <c r="AS140">
        <f t="shared" si="31"/>
        <v>0</v>
      </c>
      <c r="AT140"/>
      <c r="AU140"/>
      <c r="AV140"/>
      <c r="AW140"/>
      <c r="AX140"/>
      <c r="AY140"/>
      <c r="AZ140"/>
      <c r="BA140"/>
      <c r="BB140"/>
      <c r="BC140"/>
      <c r="BD140"/>
      <c r="BE140"/>
    </row>
    <row r="141" spans="2:57" ht="27" customHeight="1" x14ac:dyDescent="0.2">
      <c r="B141" s="398">
        <f t="shared" si="26"/>
        <v>30</v>
      </c>
      <c r="C141" s="454" t="s">
        <v>58</v>
      </c>
      <c r="D141" s="454" t="s">
        <v>85</v>
      </c>
      <c r="E141" s="446">
        <v>189.7</v>
      </c>
      <c r="F141" s="446">
        <v>7.9000000000000001E-2</v>
      </c>
      <c r="G141" s="347">
        <v>188.25</v>
      </c>
      <c r="H141" s="347">
        <v>3.2000000000000001E-2</v>
      </c>
      <c r="I141" s="348">
        <v>189.39</v>
      </c>
      <c r="J141" s="808">
        <v>7.3223999999999997E-2</v>
      </c>
      <c r="K141" s="523" t="str">
        <f t="shared" si="28"/>
        <v/>
      </c>
      <c r="L141" s="532"/>
      <c r="M141" s="226"/>
      <c r="AB141"/>
      <c r="AC141"/>
      <c r="AD141"/>
      <c r="AE141"/>
      <c r="AF141"/>
      <c r="AG141"/>
      <c r="AH141"/>
      <c r="AI141"/>
      <c r="AJ141"/>
      <c r="AK141"/>
      <c r="AL141"/>
      <c r="AM141"/>
      <c r="AN141"/>
      <c r="AO141"/>
      <c r="AP141" s="363"/>
      <c r="AQ141" s="375">
        <f t="shared" si="30"/>
        <v>75</v>
      </c>
      <c r="AR141">
        <f t="shared" si="29"/>
        <v>1174.8399999999999</v>
      </c>
      <c r="AS141">
        <f t="shared" si="31"/>
        <v>0</v>
      </c>
      <c r="AT141"/>
      <c r="AU141"/>
      <c r="AV141"/>
      <c r="AW141"/>
      <c r="AX141"/>
      <c r="AY141"/>
      <c r="AZ141"/>
      <c r="BA141"/>
      <c r="BB141"/>
      <c r="BC141"/>
      <c r="BD141"/>
      <c r="BE141"/>
    </row>
    <row r="142" spans="2:57" ht="27" customHeight="1" x14ac:dyDescent="0.2">
      <c r="B142" s="398">
        <f t="shared" si="26"/>
        <v>31</v>
      </c>
      <c r="C142" s="454" t="s">
        <v>59</v>
      </c>
      <c r="D142" s="454" t="s">
        <v>85</v>
      </c>
      <c r="E142" s="446">
        <v>171.19</v>
      </c>
      <c r="F142" s="421">
        <v>9.6879999999999994E-2</v>
      </c>
      <c r="G142" s="347">
        <v>169.34</v>
      </c>
      <c r="H142" s="399">
        <v>5.1999999999999998E-2</v>
      </c>
      <c r="I142" s="348">
        <v>170.95</v>
      </c>
      <c r="J142" s="808">
        <v>9.1066999999999995E-2</v>
      </c>
      <c r="K142" s="523">
        <v>8.4770000000000003</v>
      </c>
      <c r="L142" s="532"/>
      <c r="M142" s="226"/>
      <c r="AB142"/>
      <c r="AC142"/>
      <c r="AD142"/>
      <c r="AE142"/>
      <c r="AF142"/>
      <c r="AG142"/>
      <c r="AH142"/>
      <c r="AI142"/>
      <c r="AJ142"/>
      <c r="AK142"/>
      <c r="AL142"/>
      <c r="AM142"/>
      <c r="AN142"/>
      <c r="AO142"/>
      <c r="AP142" s="363"/>
      <c r="AQ142" s="375">
        <f t="shared" si="30"/>
        <v>76</v>
      </c>
      <c r="AR142">
        <f t="shared" si="29"/>
        <v>1173.98</v>
      </c>
      <c r="AS142">
        <f t="shared" si="31"/>
        <v>0</v>
      </c>
      <c r="AT142"/>
      <c r="AU142"/>
      <c r="AV142"/>
      <c r="AW142"/>
      <c r="AX142"/>
      <c r="AY142"/>
      <c r="AZ142"/>
      <c r="BA142"/>
      <c r="BB142"/>
      <c r="BC142"/>
      <c r="BD142"/>
      <c r="BE142"/>
    </row>
    <row r="143" spans="2:57" ht="27" customHeight="1" x14ac:dyDescent="0.2">
      <c r="B143" s="398">
        <f t="shared" si="26"/>
        <v>32</v>
      </c>
      <c r="C143" s="454" t="s">
        <v>60</v>
      </c>
      <c r="D143" s="454" t="s">
        <v>86</v>
      </c>
      <c r="E143" s="446">
        <v>142.6</v>
      </c>
      <c r="F143" s="421">
        <v>9.157</v>
      </c>
      <c r="G143" s="347">
        <v>139.43</v>
      </c>
      <c r="H143" s="347">
        <v>1.7649999999999999</v>
      </c>
      <c r="I143" s="347">
        <v>153.13</v>
      </c>
      <c r="J143" s="810">
        <v>9.4202329700000007</v>
      </c>
      <c r="K143" s="523" t="str">
        <f>IF(I143&gt;E143,"Limpas","")</f>
        <v>Limpas</v>
      </c>
      <c r="L143" s="533"/>
      <c r="M143" s="226"/>
      <c r="AB143"/>
      <c r="AC143"/>
      <c r="AD143"/>
      <c r="AE143"/>
      <c r="AF143"/>
      <c r="AG143"/>
      <c r="AH143"/>
      <c r="AI143"/>
      <c r="AJ143"/>
      <c r="AK143"/>
      <c r="AL143"/>
      <c r="AM143"/>
      <c r="AN143"/>
      <c r="AO143"/>
      <c r="AP143" s="363"/>
      <c r="AQ143" s="375">
        <f t="shared" si="30"/>
        <v>77</v>
      </c>
      <c r="AR143">
        <f t="shared" si="29"/>
        <v>1177</v>
      </c>
      <c r="AS143">
        <f t="shared" si="31"/>
        <v>0</v>
      </c>
      <c r="AT143"/>
      <c r="AU143"/>
      <c r="AV143"/>
      <c r="AW143"/>
      <c r="AX143"/>
      <c r="AY143"/>
      <c r="AZ143"/>
      <c r="BA143"/>
      <c r="BB143"/>
      <c r="BC143"/>
      <c r="BD143"/>
      <c r="BE143"/>
    </row>
    <row r="144" spans="2:57" ht="27" customHeight="1" x14ac:dyDescent="0.2">
      <c r="B144" s="398">
        <f t="shared" si="26"/>
        <v>33</v>
      </c>
      <c r="C144" s="454" t="s">
        <v>61</v>
      </c>
      <c r="D144" s="454" t="s">
        <v>86</v>
      </c>
      <c r="E144" s="446">
        <v>239.5</v>
      </c>
      <c r="F144" s="421">
        <v>2.6720000000000002</v>
      </c>
      <c r="G144" s="347">
        <v>234.45</v>
      </c>
      <c r="H144" s="399">
        <v>0.44600000000000001</v>
      </c>
      <c r="I144" s="347">
        <v>238.44</v>
      </c>
      <c r="J144" s="810">
        <v>2.1063999999999998</v>
      </c>
      <c r="K144" s="523" t="str">
        <f t="shared" si="28"/>
        <v/>
      </c>
      <c r="L144" s="533"/>
      <c r="M144" s="226"/>
      <c r="AB144"/>
      <c r="AC144"/>
      <c r="AD144"/>
      <c r="AE144"/>
      <c r="AF144"/>
      <c r="AG144"/>
      <c r="AH144"/>
      <c r="AI144"/>
      <c r="AJ144"/>
      <c r="AK144"/>
      <c r="AL144"/>
      <c r="AM144"/>
      <c r="AN144"/>
      <c r="AO144"/>
      <c r="AP144" s="363"/>
      <c r="AQ144" s="375">
        <f t="shared" si="30"/>
        <v>78</v>
      </c>
      <c r="AR144">
        <f t="shared" si="29"/>
        <v>1183.57</v>
      </c>
      <c r="AS144">
        <f t="shared" si="31"/>
        <v>0</v>
      </c>
      <c r="AT144"/>
      <c r="AU144"/>
      <c r="AV144"/>
      <c r="AW144"/>
      <c r="AX144"/>
      <c r="AY144"/>
      <c r="AZ144"/>
      <c r="BA144"/>
      <c r="BB144"/>
      <c r="BC144"/>
      <c r="BD144"/>
      <c r="BE144"/>
    </row>
    <row r="145" spans="2:57" ht="27" customHeight="1" x14ac:dyDescent="0.2">
      <c r="B145" s="398">
        <f t="shared" si="26"/>
        <v>34</v>
      </c>
      <c r="C145" s="454" t="s">
        <v>62</v>
      </c>
      <c r="D145" s="454" t="s">
        <v>87</v>
      </c>
      <c r="E145" s="446">
        <v>120.5</v>
      </c>
      <c r="F145" s="421">
        <v>3.677</v>
      </c>
      <c r="G145" s="347">
        <v>118.55</v>
      </c>
      <c r="H145" s="347">
        <v>0.59499999999999997</v>
      </c>
      <c r="I145" s="347">
        <v>120.75</v>
      </c>
      <c r="J145" s="807">
        <v>4.154369</v>
      </c>
      <c r="K145" s="523" t="str">
        <f t="shared" si="28"/>
        <v>Limpas</v>
      </c>
      <c r="L145" s="531"/>
      <c r="M145" s="226"/>
      <c r="AB145"/>
      <c r="AC145"/>
      <c r="AD145"/>
      <c r="AE145">
        <v>1</v>
      </c>
      <c r="AF145"/>
      <c r="AG145"/>
      <c r="AH145"/>
      <c r="AI145"/>
      <c r="AJ145"/>
      <c r="AK145"/>
      <c r="AL145"/>
      <c r="AM145"/>
      <c r="AN145"/>
      <c r="AO145"/>
      <c r="AP145" s="363"/>
      <c r="AQ145" s="375">
        <f t="shared" si="30"/>
        <v>79</v>
      </c>
      <c r="AR145">
        <f t="shared" si="29"/>
        <v>1192.02</v>
      </c>
      <c r="AS145">
        <f t="shared" si="31"/>
        <v>0</v>
      </c>
      <c r="AT145"/>
      <c r="AU145"/>
      <c r="AV145"/>
      <c r="AW145"/>
      <c r="AX145"/>
      <c r="AY145"/>
      <c r="AZ145"/>
      <c r="BA145"/>
      <c r="BB145"/>
      <c r="BC145"/>
      <c r="BD145"/>
      <c r="BE145"/>
    </row>
    <row r="146" spans="2:57" ht="27" customHeight="1" x14ac:dyDescent="0.2">
      <c r="B146" s="398">
        <f t="shared" si="26"/>
        <v>35</v>
      </c>
      <c r="C146" s="454" t="s">
        <v>63</v>
      </c>
      <c r="D146" s="454" t="s">
        <v>88</v>
      </c>
      <c r="E146" s="446">
        <v>110.56</v>
      </c>
      <c r="F146" s="421">
        <v>2.75</v>
      </c>
      <c r="G146" s="347">
        <v>107.16</v>
      </c>
      <c r="H146" s="347">
        <v>0.311</v>
      </c>
      <c r="I146" s="347">
        <v>110.56</v>
      </c>
      <c r="J146" s="807">
        <v>2.75</v>
      </c>
      <c r="K146" s="523" t="str">
        <f t="shared" si="28"/>
        <v/>
      </c>
      <c r="L146" s="531"/>
      <c r="M146" s="226"/>
      <c r="AB146"/>
      <c r="AC146"/>
      <c r="AD146"/>
      <c r="AE146"/>
      <c r="AF146"/>
      <c r="AG146"/>
      <c r="AH146"/>
      <c r="AI146"/>
      <c r="AJ146"/>
      <c r="AK146"/>
      <c r="AL146"/>
      <c r="AM146"/>
      <c r="AN146"/>
      <c r="AO146"/>
      <c r="AP146" s="363"/>
      <c r="AQ146" s="375">
        <f t="shared" si="30"/>
        <v>80</v>
      </c>
      <c r="AR146">
        <f t="shared" si="29"/>
        <v>1217.23</v>
      </c>
      <c r="AS146">
        <f t="shared" si="31"/>
        <v>0</v>
      </c>
      <c r="AT146"/>
      <c r="AU146"/>
      <c r="AV146"/>
      <c r="AW146"/>
      <c r="AX146"/>
      <c r="AY146"/>
      <c r="AZ146"/>
      <c r="BA146"/>
      <c r="BB146"/>
      <c r="BC146"/>
      <c r="BD146"/>
      <c r="BE146"/>
    </row>
    <row r="147" spans="2:57" ht="27" customHeight="1" x14ac:dyDescent="0.2">
      <c r="B147" s="398">
        <f t="shared" si="26"/>
        <v>36</v>
      </c>
      <c r="C147" s="454" t="s">
        <v>64</v>
      </c>
      <c r="D147" s="454" t="s">
        <v>89</v>
      </c>
      <c r="E147" s="446">
        <v>72</v>
      </c>
      <c r="F147" s="421">
        <v>38.036000000000001</v>
      </c>
      <c r="G147" s="347">
        <v>48.7</v>
      </c>
      <c r="H147" s="399">
        <v>2.5659999999999998</v>
      </c>
      <c r="I147" s="347">
        <v>69.97</v>
      </c>
      <c r="J147" s="800">
        <v>33.191000000000003</v>
      </c>
      <c r="K147" s="523">
        <v>31.690999999999999</v>
      </c>
      <c r="L147" s="533"/>
      <c r="M147" s="226"/>
      <c r="AB147"/>
      <c r="AC147"/>
      <c r="AD147"/>
      <c r="AE147"/>
      <c r="AF147"/>
      <c r="AG147"/>
      <c r="AH147"/>
      <c r="AI147"/>
      <c r="AJ147"/>
      <c r="AK147"/>
      <c r="AL147"/>
      <c r="AM147"/>
      <c r="AN147"/>
      <c r="AO147"/>
      <c r="AP147" s="363"/>
      <c r="AQ147" s="375">
        <f t="shared" si="30"/>
        <v>81</v>
      </c>
      <c r="AR147">
        <f t="shared" si="29"/>
        <v>1240.25</v>
      </c>
      <c r="AS147">
        <f t="shared" si="31"/>
        <v>0</v>
      </c>
      <c r="AT147"/>
      <c r="AU147"/>
      <c r="AV147"/>
      <c r="AW147"/>
      <c r="AX147"/>
      <c r="AY147"/>
      <c r="AZ147"/>
      <c r="BA147"/>
      <c r="BB147"/>
      <c r="BC147"/>
      <c r="BD147"/>
      <c r="BE147"/>
    </row>
    <row r="148" spans="2:57" ht="27" customHeight="1" x14ac:dyDescent="0.2">
      <c r="B148" s="398">
        <f t="shared" si="26"/>
        <v>37</v>
      </c>
      <c r="C148" s="454" t="s">
        <v>65</v>
      </c>
      <c r="D148" s="454" t="s">
        <v>89</v>
      </c>
      <c r="E148" s="446">
        <v>185</v>
      </c>
      <c r="F148" s="421">
        <v>388.72199999999998</v>
      </c>
      <c r="G148" s="347">
        <v>164.5</v>
      </c>
      <c r="H148" s="399">
        <v>195.773</v>
      </c>
      <c r="I148" s="594">
        <v>173.85</v>
      </c>
      <c r="J148" s="802">
        <v>279.31299999999999</v>
      </c>
      <c r="K148" s="523" t="str">
        <f t="shared" si="28"/>
        <v/>
      </c>
      <c r="L148" s="533"/>
      <c r="M148" s="226"/>
      <c r="AB148"/>
      <c r="AC148"/>
      <c r="AD148"/>
      <c r="AE148"/>
      <c r="AF148"/>
      <c r="AG148"/>
      <c r="AH148"/>
      <c r="AI148"/>
      <c r="AJ148"/>
      <c r="AK148"/>
      <c r="AL148"/>
      <c r="AM148"/>
      <c r="AN148"/>
      <c r="AO148"/>
      <c r="AP148" s="363"/>
      <c r="AQ148" s="375">
        <f t="shared" si="30"/>
        <v>82</v>
      </c>
      <c r="AR148">
        <f t="shared" si="29"/>
        <v>1241.27</v>
      </c>
      <c r="AS148">
        <f t="shared" si="31"/>
        <v>0</v>
      </c>
      <c r="AT148"/>
      <c r="AU148"/>
      <c r="AV148"/>
      <c r="AW148"/>
      <c r="AX148"/>
      <c r="AY148"/>
      <c r="AZ148"/>
      <c r="BA148"/>
      <c r="BB148"/>
      <c r="BC148"/>
      <c r="BD148"/>
      <c r="BE148"/>
    </row>
    <row r="149" spans="2:57" ht="27" customHeight="1" x14ac:dyDescent="0.2">
      <c r="B149" s="398">
        <v>38</v>
      </c>
      <c r="C149" s="454" t="s">
        <v>66</v>
      </c>
      <c r="D149" s="454" t="s">
        <v>90</v>
      </c>
      <c r="E149" s="446">
        <v>231</v>
      </c>
      <c r="F149" s="421">
        <v>30.48</v>
      </c>
      <c r="G149" s="347">
        <v>228.11</v>
      </c>
      <c r="H149" s="399">
        <v>5.93</v>
      </c>
      <c r="I149" s="347">
        <v>229.89</v>
      </c>
      <c r="J149" s="800">
        <v>11.554</v>
      </c>
      <c r="K149" s="523" t="str">
        <f>IF(I149&gt;E149,"Limpas","")</f>
        <v/>
      </c>
      <c r="L149" s="533"/>
      <c r="M149" s="520"/>
      <c r="AB149"/>
      <c r="AC149"/>
      <c r="AD149"/>
      <c r="AE149"/>
      <c r="AF149"/>
      <c r="AG149"/>
      <c r="AH149"/>
      <c r="AI149"/>
      <c r="AJ149"/>
      <c r="AK149"/>
      <c r="AL149"/>
      <c r="AM149"/>
      <c r="AN149"/>
      <c r="AO149"/>
      <c r="AP149" s="363"/>
      <c r="AQ149" s="375">
        <f t="shared" si="30"/>
        <v>83</v>
      </c>
      <c r="AR149">
        <f t="shared" si="29"/>
        <v>1248.96</v>
      </c>
      <c r="AS149">
        <f t="shared" si="31"/>
        <v>0</v>
      </c>
      <c r="AT149"/>
      <c r="AU149"/>
      <c r="AV149"/>
      <c r="AW149"/>
      <c r="AX149"/>
      <c r="AY149"/>
      <c r="AZ149"/>
      <c r="BA149"/>
      <c r="BB149"/>
      <c r="BC149"/>
      <c r="BD149"/>
      <c r="BE149"/>
    </row>
    <row r="150" spans="2:57" ht="27" customHeight="1" x14ac:dyDescent="0.2">
      <c r="B150" s="395">
        <v>39</v>
      </c>
      <c r="C150" s="396" t="s">
        <v>230</v>
      </c>
      <c r="D150" s="396" t="s">
        <v>78</v>
      </c>
      <c r="E150" s="422">
        <v>149.30000000000001</v>
      </c>
      <c r="F150" s="449">
        <v>17.670000000000002</v>
      </c>
      <c r="G150" s="422">
        <v>149.30000000000001</v>
      </c>
      <c r="H150" s="449">
        <v>17.670000000000002</v>
      </c>
      <c r="I150" s="422">
        <v>149.619</v>
      </c>
      <c r="J150" s="814">
        <v>11.25</v>
      </c>
      <c r="K150" s="397" t="s">
        <v>233</v>
      </c>
      <c r="L150" s="534"/>
      <c r="M150" s="226"/>
      <c r="AB150"/>
      <c r="AC150"/>
      <c r="AD150"/>
      <c r="AE150"/>
      <c r="AF150"/>
      <c r="AG150"/>
      <c r="AH150"/>
      <c r="AI150"/>
      <c r="AJ150"/>
      <c r="AK150"/>
      <c r="AL150"/>
      <c r="AM150"/>
      <c r="AN150"/>
      <c r="AO150"/>
      <c r="AP150" s="363"/>
      <c r="AQ150" s="375">
        <f t="shared" si="30"/>
        <v>84</v>
      </c>
      <c r="AR150">
        <f t="shared" si="29"/>
        <v>1248.82</v>
      </c>
      <c r="AS150">
        <f t="shared" si="31"/>
        <v>0</v>
      </c>
      <c r="AT150"/>
      <c r="AU150"/>
      <c r="AV150"/>
      <c r="AW150"/>
      <c r="AX150"/>
      <c r="AY150"/>
      <c r="AZ150"/>
      <c r="BA150"/>
      <c r="BB150"/>
      <c r="BC150"/>
      <c r="BD150"/>
      <c r="BE150"/>
    </row>
    <row r="151" spans="2:57" ht="27" customHeight="1" x14ac:dyDescent="0.25">
      <c r="B151" s="398">
        <f>+B150+1</f>
        <v>40</v>
      </c>
      <c r="C151" s="454" t="s">
        <v>231</v>
      </c>
      <c r="D151" s="454" t="s">
        <v>82</v>
      </c>
      <c r="E151" s="446">
        <v>39</v>
      </c>
      <c r="F151" s="421">
        <v>0.47399999999999998</v>
      </c>
      <c r="G151" s="446">
        <v>39</v>
      </c>
      <c r="H151" s="421">
        <v>0.47</v>
      </c>
      <c r="I151" s="623">
        <v>39</v>
      </c>
      <c r="J151" s="810">
        <v>0.47</v>
      </c>
      <c r="K151" s="397" t="s">
        <v>204</v>
      </c>
      <c r="L151" s="534"/>
      <c r="AB151"/>
      <c r="AC151"/>
      <c r="AD151"/>
      <c r="AE151"/>
      <c r="AF151"/>
      <c r="AG151"/>
      <c r="AH151"/>
      <c r="AI151"/>
      <c r="AJ151"/>
      <c r="AK151"/>
      <c r="AL151"/>
      <c r="AM151"/>
      <c r="AN151"/>
      <c r="AO151"/>
      <c r="AP151" s="363"/>
      <c r="AQ151" s="375">
        <f t="shared" si="30"/>
        <v>85</v>
      </c>
      <c r="AR151">
        <f t="shared" si="29"/>
        <v>1254.3</v>
      </c>
      <c r="AS151">
        <f t="shared" si="31"/>
        <v>0</v>
      </c>
      <c r="AT151"/>
      <c r="AU151"/>
      <c r="AV151"/>
      <c r="AW151"/>
      <c r="AX151"/>
      <c r="AY151"/>
      <c r="AZ151"/>
      <c r="BA151"/>
      <c r="BB151"/>
      <c r="BC151"/>
      <c r="BD151"/>
      <c r="BE151"/>
    </row>
    <row r="152" spans="2:57" ht="27" customHeight="1" thickBot="1" x14ac:dyDescent="0.3">
      <c r="B152" s="400">
        <v>41</v>
      </c>
      <c r="C152" s="401" t="s">
        <v>232</v>
      </c>
      <c r="D152" s="401" t="s">
        <v>82</v>
      </c>
      <c r="E152" s="460">
        <v>70</v>
      </c>
      <c r="F152" s="423">
        <v>0.81699999999999995</v>
      </c>
      <c r="G152" s="460">
        <v>70</v>
      </c>
      <c r="H152" s="423">
        <v>0.82</v>
      </c>
      <c r="I152" s="652">
        <v>70</v>
      </c>
      <c r="J152" s="810">
        <v>0.74399999999999999</v>
      </c>
      <c r="K152" s="397"/>
      <c r="L152" s="534"/>
      <c r="AB152"/>
      <c r="AC152"/>
      <c r="AD152"/>
      <c r="AE152"/>
      <c r="AF152"/>
      <c r="AG152"/>
      <c r="AH152"/>
      <c r="AI152"/>
      <c r="AJ152"/>
      <c r="AK152"/>
      <c r="AL152"/>
      <c r="AM152"/>
      <c r="AN152"/>
      <c r="AO152"/>
      <c r="AP152" s="363"/>
      <c r="AQ152" s="375">
        <f t="shared" si="30"/>
        <v>86</v>
      </c>
      <c r="AR152">
        <f t="shared" si="29"/>
        <v>1256.3900000000001</v>
      </c>
      <c r="AS152">
        <f t="shared" si="31"/>
        <v>0</v>
      </c>
      <c r="AT152"/>
      <c r="AU152"/>
      <c r="AV152"/>
      <c r="AW152"/>
      <c r="AX152"/>
      <c r="AY152"/>
      <c r="AZ152"/>
      <c r="BA152"/>
      <c r="BB152"/>
      <c r="BC152"/>
      <c r="BD152"/>
      <c r="BE152"/>
    </row>
    <row r="153" spans="2:57" ht="27" customHeight="1" thickBot="1" x14ac:dyDescent="0.25">
      <c r="B153" s="393"/>
      <c r="C153" s="394" t="s">
        <v>67</v>
      </c>
      <c r="D153" s="394"/>
      <c r="E153" s="426"/>
      <c r="F153" s="425">
        <f>SUM(F112:F152)</f>
        <v>1813.882478</v>
      </c>
      <c r="G153" s="426"/>
      <c r="H153" s="425">
        <f>SUM(H115:H152)</f>
        <v>609.5870000000001</v>
      </c>
      <c r="I153" s="426"/>
      <c r="J153" s="374">
        <f>SUM(J112:J152)</f>
        <v>1329.3689543391633</v>
      </c>
      <c r="K153" s="402"/>
      <c r="L153" s="778"/>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x14ac:dyDescent="0.25">
      <c r="B154" s="403" t="s">
        <v>68</v>
      </c>
      <c r="C154" s="515" t="s">
        <v>69</v>
      </c>
      <c r="D154" s="515"/>
      <c r="E154" s="431"/>
      <c r="F154" s="428"/>
      <c r="G154" s="429"/>
      <c r="H154" s="430">
        <v>1</v>
      </c>
      <c r="I154" s="431"/>
      <c r="J154" s="357">
        <f>IFERROR(+J153/H153,0)</f>
        <v>2.1807698562127524</v>
      </c>
      <c r="K154" s="404"/>
      <c r="L154" s="779"/>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x14ac:dyDescent="0.25">
      <c r="B155" s="406"/>
      <c r="C155" s="407" t="s">
        <v>234</v>
      </c>
      <c r="D155" s="408"/>
      <c r="E155" s="505">
        <v>1736.79</v>
      </c>
      <c r="F155" s="432">
        <v>1</v>
      </c>
      <c r="G155" s="433" t="s">
        <v>68</v>
      </c>
      <c r="H155" s="432">
        <f>+H153/F153*100%</f>
        <v>0.33606752774420928</v>
      </c>
      <c r="I155" s="434"/>
      <c r="J155" s="358">
        <f>+J153/F153</f>
        <v>0.73288593415651448</v>
      </c>
      <c r="K155" s="409"/>
      <c r="L155" s="779"/>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x14ac:dyDescent="0.25">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1260.51</v>
      </c>
      <c r="AS156">
        <f t="shared" si="31"/>
        <v>0</v>
      </c>
      <c r="AT156"/>
      <c r="AU156"/>
      <c r="AV156"/>
      <c r="AW156"/>
      <c r="AX156"/>
      <c r="AY156"/>
      <c r="AZ156"/>
      <c r="BA156"/>
      <c r="BB156"/>
      <c r="BC156"/>
      <c r="BD156"/>
      <c r="BE156"/>
    </row>
    <row r="157" spans="2:57" ht="27" customHeight="1" thickBot="1" x14ac:dyDescent="0.25">
      <c r="B157" s="390"/>
      <c r="C157" s="350"/>
      <c r="D157" s="350"/>
      <c r="E157" s="350"/>
      <c r="F157" s="391">
        <v>8</v>
      </c>
      <c r="G157" s="392" t="s">
        <v>6</v>
      </c>
      <c r="H157" s="581">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1257.74</v>
      </c>
      <c r="AS157">
        <f t="shared" si="31"/>
        <v>0</v>
      </c>
      <c r="AT157"/>
      <c r="AU157"/>
      <c r="AV157"/>
      <c r="AW157"/>
      <c r="AX157"/>
      <c r="AY157"/>
      <c r="AZ157"/>
      <c r="BA157"/>
      <c r="BB157"/>
      <c r="BC157"/>
      <c r="BD157"/>
      <c r="BE157"/>
    </row>
    <row r="158" spans="2:57" ht="27" customHeight="1" x14ac:dyDescent="0.2">
      <c r="B158" s="512" t="s">
        <v>18</v>
      </c>
      <c r="C158" s="515" t="s">
        <v>19</v>
      </c>
      <c r="D158" s="515" t="s">
        <v>75</v>
      </c>
      <c r="E158" s="827" t="s">
        <v>20</v>
      </c>
      <c r="F158" s="828"/>
      <c r="G158" s="827" t="s">
        <v>96</v>
      </c>
      <c r="H158" s="828"/>
      <c r="I158" s="827" t="s">
        <v>22</v>
      </c>
      <c r="J158" s="828"/>
      <c r="K158" s="509" t="s">
        <v>168</v>
      </c>
      <c r="L158" s="416"/>
      <c r="M158" s="226"/>
      <c r="AB158"/>
      <c r="AC158"/>
      <c r="AD158"/>
      <c r="AE158"/>
      <c r="AF158"/>
      <c r="AG158"/>
      <c r="AH158"/>
      <c r="AI158"/>
      <c r="AJ158"/>
      <c r="AK158"/>
      <c r="AL158"/>
      <c r="AM158"/>
      <c r="AN158"/>
      <c r="AO158"/>
      <c r="AP158" s="363"/>
      <c r="AQ158" s="375">
        <f t="shared" si="30"/>
        <v>89</v>
      </c>
      <c r="AR158">
        <f>IF(AE35="tad","tad",AE35)</f>
        <v>1258.47</v>
      </c>
      <c r="AS158">
        <f t="shared" si="31"/>
        <v>0</v>
      </c>
      <c r="AT158"/>
      <c r="AU158"/>
      <c r="AV158"/>
      <c r="AW158"/>
      <c r="AX158"/>
      <c r="AY158"/>
      <c r="AZ158"/>
      <c r="BA158"/>
      <c r="BB158"/>
      <c r="BC158"/>
      <c r="BD158"/>
      <c r="BE158"/>
    </row>
    <row r="159" spans="2:57" ht="27" customHeight="1" x14ac:dyDescent="0.2">
      <c r="B159" s="513"/>
      <c r="C159" s="516"/>
      <c r="D159" s="516"/>
      <c r="E159" s="352" t="s">
        <v>24</v>
      </c>
      <c r="F159" s="352" t="s">
        <v>25</v>
      </c>
      <c r="G159" s="351" t="s">
        <v>24</v>
      </c>
      <c r="H159" s="352" t="s">
        <v>25</v>
      </c>
      <c r="I159" s="351" t="s">
        <v>24</v>
      </c>
      <c r="J159" s="352" t="s">
        <v>25</v>
      </c>
      <c r="K159" s="510"/>
      <c r="L159" s="416"/>
      <c r="M159" s="226"/>
      <c r="AB159"/>
      <c r="AC159"/>
      <c r="AD159"/>
      <c r="AE159"/>
      <c r="AF159"/>
      <c r="AG159"/>
      <c r="AH159"/>
      <c r="AI159"/>
      <c r="AJ159"/>
      <c r="AK159"/>
      <c r="AL159"/>
      <c r="AM159"/>
      <c r="AN159"/>
      <c r="AO159"/>
      <c r="AP159" s="363"/>
      <c r="AQ159" s="375">
        <f t="shared" si="30"/>
        <v>90</v>
      </c>
      <c r="AR159">
        <f>IF(AE36="tad","tad",AE36)</f>
        <v>1261.4000000000001</v>
      </c>
      <c r="AS159">
        <f t="shared" si="31"/>
        <v>0</v>
      </c>
      <c r="AT159"/>
      <c r="AU159"/>
      <c r="AV159"/>
      <c r="AW159"/>
      <c r="AX159"/>
      <c r="AY159"/>
      <c r="AZ159"/>
      <c r="BA159"/>
      <c r="BB159"/>
      <c r="BC159"/>
      <c r="BD159"/>
      <c r="BE159"/>
    </row>
    <row r="160" spans="2:57" ht="27" customHeight="1" thickBot="1" x14ac:dyDescent="0.25">
      <c r="B160" s="514"/>
      <c r="C160" s="517"/>
      <c r="D160" s="517"/>
      <c r="E160" s="354" t="s">
        <v>26</v>
      </c>
      <c r="F160" s="354" t="s">
        <v>157</v>
      </c>
      <c r="G160" s="353" t="s">
        <v>26</v>
      </c>
      <c r="H160" s="354" t="s">
        <v>157</v>
      </c>
      <c r="I160" s="353" t="s">
        <v>26</v>
      </c>
      <c r="J160" s="354" t="s">
        <v>157</v>
      </c>
      <c r="K160" s="511"/>
      <c r="L160" s="416"/>
      <c r="M160" s="226"/>
      <c r="AB160"/>
      <c r="AC160"/>
      <c r="AD160"/>
      <c r="AE160"/>
      <c r="AF160"/>
      <c r="AG160"/>
      <c r="AH160"/>
      <c r="AI160"/>
      <c r="AJ160"/>
      <c r="AK160"/>
      <c r="AL160"/>
      <c r="AM160"/>
      <c r="AN160"/>
      <c r="AO160"/>
      <c r="AP160" s="363"/>
      <c r="AQ160" s="375">
        <f t="shared" si="30"/>
        <v>91</v>
      </c>
      <c r="AR160">
        <f>IF(AE37="tad","tad",AE37)</f>
        <v>1268.79</v>
      </c>
      <c r="AS160">
        <f t="shared" si="31"/>
        <v>0</v>
      </c>
      <c r="AT160"/>
      <c r="AU160"/>
      <c r="AV160"/>
      <c r="AW160"/>
      <c r="AX160"/>
      <c r="AY160"/>
      <c r="AZ160"/>
      <c r="BA160"/>
      <c r="BB160"/>
      <c r="BC160"/>
      <c r="BD160"/>
      <c r="BE160"/>
    </row>
    <row r="161" spans="2:57" ht="27" customHeight="1" thickBot="1" x14ac:dyDescent="0.25">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1274.99</v>
      </c>
      <c r="AS161">
        <f t="shared" si="31"/>
        <v>0</v>
      </c>
      <c r="AT161"/>
      <c r="AU161"/>
      <c r="AV161"/>
      <c r="AW161"/>
      <c r="AX161"/>
      <c r="AY161"/>
      <c r="AZ161"/>
      <c r="BA161"/>
      <c r="BB161"/>
      <c r="BC161"/>
      <c r="BD161"/>
      <c r="BE161"/>
    </row>
    <row r="162" spans="2:57" ht="27" customHeight="1" x14ac:dyDescent="0.2">
      <c r="B162" s="395">
        <v>1</v>
      </c>
      <c r="C162" s="396" t="s">
        <v>28</v>
      </c>
      <c r="D162" s="396" t="s">
        <v>76</v>
      </c>
      <c r="E162" s="446">
        <v>55.77</v>
      </c>
      <c r="F162" s="421">
        <v>31.144597999999998</v>
      </c>
      <c r="G162" s="346">
        <v>53.24</v>
      </c>
      <c r="H162" s="346">
        <v>18.036000000000001</v>
      </c>
      <c r="I162" s="346">
        <v>55.64</v>
      </c>
      <c r="J162" s="799">
        <v>30.379159999999999</v>
      </c>
      <c r="K162" s="346">
        <v>0</v>
      </c>
      <c r="L162" s="552">
        <v>31.794668000000001</v>
      </c>
      <c r="M162" s="762"/>
      <c r="N162" s="539"/>
      <c r="AB162"/>
      <c r="AC162"/>
      <c r="AD162"/>
      <c r="AE162"/>
      <c r="AF162"/>
      <c r="AG162"/>
      <c r="AH162"/>
      <c r="AI162"/>
      <c r="AJ162"/>
      <c r="AK162"/>
      <c r="AL162"/>
      <c r="AM162"/>
      <c r="AN162"/>
      <c r="AO162"/>
      <c r="AP162" s="363"/>
      <c r="AQ162" s="375">
        <f t="shared" si="30"/>
        <v>93</v>
      </c>
      <c r="AR162">
        <f t="shared" si="32"/>
        <v>1288.1300000000001</v>
      </c>
      <c r="AS162">
        <f t="shared" si="31"/>
        <v>0</v>
      </c>
      <c r="AT162"/>
      <c r="AU162"/>
      <c r="AV162"/>
      <c r="AW162"/>
      <c r="AX162"/>
      <c r="AY162"/>
      <c r="AZ162"/>
      <c r="BA162"/>
      <c r="BB162"/>
      <c r="BC162"/>
      <c r="BD162"/>
      <c r="BE162"/>
    </row>
    <row r="163" spans="2:57" ht="27" customHeight="1" x14ac:dyDescent="0.2">
      <c r="B163" s="398">
        <f>+B162+1</f>
        <v>2</v>
      </c>
      <c r="C163" s="454" t="s">
        <v>29</v>
      </c>
      <c r="D163" s="454" t="s">
        <v>76</v>
      </c>
      <c r="E163" s="422">
        <v>339.5</v>
      </c>
      <c r="F163" s="449">
        <v>7.77</v>
      </c>
      <c r="G163" s="347">
        <v>338.77</v>
      </c>
      <c r="H163" s="399">
        <v>7.157</v>
      </c>
      <c r="I163" s="347">
        <v>338.9</v>
      </c>
      <c r="J163" s="800">
        <v>7.27</v>
      </c>
      <c r="K163" s="346">
        <v>0</v>
      </c>
      <c r="L163" s="554">
        <v>6.54</v>
      </c>
      <c r="M163" s="763"/>
      <c r="N163" s="540"/>
      <c r="AB163"/>
      <c r="AC163"/>
      <c r="AD163"/>
      <c r="AE163"/>
      <c r="AF163"/>
      <c r="AG163"/>
      <c r="AH163"/>
      <c r="AI163"/>
      <c r="AJ163"/>
      <c r="AK163"/>
      <c r="AL163"/>
      <c r="AM163"/>
      <c r="AN163"/>
      <c r="AO163"/>
      <c r="AP163" s="363"/>
      <c r="AQ163" s="375">
        <f t="shared" si="30"/>
        <v>94</v>
      </c>
      <c r="AR163">
        <f t="shared" si="32"/>
        <v>1287.52</v>
      </c>
      <c r="AS163">
        <f t="shared" si="31"/>
        <v>0</v>
      </c>
      <c r="AT163"/>
      <c r="AU163"/>
      <c r="AV163"/>
      <c r="AW163"/>
      <c r="AX163"/>
      <c r="AY163"/>
      <c r="AZ163"/>
      <c r="BA163"/>
      <c r="BB163"/>
      <c r="BC163"/>
      <c r="BD163"/>
      <c r="BE163"/>
    </row>
    <row r="164" spans="2:57" ht="27" customHeight="1" x14ac:dyDescent="0.2">
      <c r="B164" s="398">
        <f t="shared" ref="B164:B198" si="33">+B163+1</f>
        <v>3</v>
      </c>
      <c r="C164" s="454" t="s">
        <v>30</v>
      </c>
      <c r="D164" s="454" t="s">
        <v>77</v>
      </c>
      <c r="E164" s="446">
        <v>77.5</v>
      </c>
      <c r="F164" s="421">
        <v>49.02</v>
      </c>
      <c r="G164" s="347">
        <v>73.650000000000006</v>
      </c>
      <c r="H164" s="399">
        <v>27.367000000000001</v>
      </c>
      <c r="I164" s="347">
        <v>77.180000000000007</v>
      </c>
      <c r="J164" s="800">
        <v>46.955827999999997</v>
      </c>
      <c r="K164" s="346">
        <v>0</v>
      </c>
      <c r="L164" s="554">
        <v>49.343955000000001</v>
      </c>
      <c r="M164" s="762"/>
      <c r="N164" s="539"/>
      <c r="AB164"/>
      <c r="AC164"/>
      <c r="AD164"/>
      <c r="AE164"/>
      <c r="AF164"/>
      <c r="AG164"/>
      <c r="AH164"/>
      <c r="AI164"/>
      <c r="AJ164"/>
      <c r="AK164"/>
      <c r="AL164"/>
      <c r="AM164"/>
      <c r="AN164"/>
      <c r="AO164"/>
      <c r="AP164" s="363"/>
      <c r="AQ164" s="375">
        <f t="shared" si="30"/>
        <v>95</v>
      </c>
      <c r="AR164">
        <f t="shared" si="32"/>
        <v>1299.08</v>
      </c>
      <c r="AS164">
        <f t="shared" si="31"/>
        <v>0</v>
      </c>
      <c r="AT164"/>
      <c r="AU164"/>
      <c r="AV164"/>
      <c r="AW164"/>
      <c r="AX164"/>
      <c r="AY164"/>
      <c r="AZ164"/>
      <c r="BA164"/>
      <c r="BB164"/>
      <c r="BC164"/>
      <c r="BD164"/>
      <c r="BE164"/>
    </row>
    <row r="165" spans="2:57" ht="27" customHeight="1" x14ac:dyDescent="0.3">
      <c r="B165" s="398">
        <f t="shared" si="33"/>
        <v>4</v>
      </c>
      <c r="C165" s="454" t="s">
        <v>31</v>
      </c>
      <c r="D165" s="454" t="s">
        <v>78</v>
      </c>
      <c r="E165" s="446">
        <v>463.3</v>
      </c>
      <c r="F165" s="421">
        <v>49.9</v>
      </c>
      <c r="G165" s="445">
        <v>462.22</v>
      </c>
      <c r="H165" s="445">
        <v>27.992000000000001</v>
      </c>
      <c r="I165" s="421">
        <v>463.02</v>
      </c>
      <c r="J165" s="800">
        <v>48.887999999999998</v>
      </c>
      <c r="K165" s="346">
        <v>0</v>
      </c>
      <c r="L165" s="556">
        <v>43.633000000000003</v>
      </c>
      <c r="M165" s="536"/>
      <c r="N165" s="537"/>
      <c r="O165" s="538"/>
      <c r="AB165"/>
      <c r="AC165"/>
      <c r="AD165"/>
      <c r="AE165"/>
      <c r="AF165"/>
      <c r="AG165"/>
      <c r="AH165"/>
      <c r="AI165"/>
      <c r="AJ165"/>
      <c r="AK165"/>
      <c r="AL165"/>
      <c r="AM165"/>
      <c r="AN165"/>
      <c r="AO165"/>
      <c r="AP165" s="363"/>
      <c r="AQ165" s="375">
        <f t="shared" si="30"/>
        <v>96</v>
      </c>
      <c r="AR165">
        <f t="shared" si="32"/>
        <v>1296.76</v>
      </c>
      <c r="AS165">
        <f t="shared" si="31"/>
        <v>0</v>
      </c>
      <c r="AT165"/>
      <c r="AU165"/>
      <c r="AV165"/>
      <c r="AW165"/>
      <c r="AX165"/>
      <c r="AY165"/>
      <c r="AZ165"/>
      <c r="BA165"/>
      <c r="BB165"/>
      <c r="BC165"/>
      <c r="BD165"/>
      <c r="BE165"/>
    </row>
    <row r="166" spans="2:57" ht="27" customHeight="1" x14ac:dyDescent="0.25">
      <c r="B166" s="398">
        <f t="shared" si="33"/>
        <v>5</v>
      </c>
      <c r="C166" s="454" t="s">
        <v>32</v>
      </c>
      <c r="D166" s="454" t="s">
        <v>79</v>
      </c>
      <c r="E166" s="446">
        <v>207</v>
      </c>
      <c r="F166" s="421">
        <v>9.5030000000000001</v>
      </c>
      <c r="G166" s="347">
        <v>195.32</v>
      </c>
      <c r="H166" s="348">
        <v>1.218</v>
      </c>
      <c r="I166" s="652">
        <v>207.01</v>
      </c>
      <c r="J166" s="800">
        <v>9.5169999999999995</v>
      </c>
      <c r="K166" s="346">
        <v>0</v>
      </c>
      <c r="L166" s="764">
        <v>9.5169999999999995</v>
      </c>
      <c r="M166" s="226"/>
      <c r="AB166"/>
      <c r="AC166"/>
      <c r="AD166"/>
      <c r="AE166"/>
      <c r="AF166"/>
      <c r="AG166"/>
      <c r="AH166"/>
      <c r="AI166"/>
      <c r="AJ166"/>
      <c r="AK166"/>
      <c r="AL166"/>
      <c r="AM166"/>
      <c r="AN166"/>
      <c r="AO166"/>
      <c r="AP166" s="363"/>
      <c r="AQ166" s="375">
        <f t="shared" si="30"/>
        <v>97</v>
      </c>
      <c r="AR166">
        <f t="shared" si="32"/>
        <v>1297.17</v>
      </c>
      <c r="AS166">
        <f t="shared" si="31"/>
        <v>0</v>
      </c>
      <c r="AT166"/>
      <c r="AU166"/>
      <c r="AV166"/>
      <c r="AW166"/>
      <c r="AX166"/>
      <c r="AY166"/>
      <c r="AZ166"/>
      <c r="BA166"/>
      <c r="BB166"/>
      <c r="BC166"/>
      <c r="BD166"/>
      <c r="BE166"/>
    </row>
    <row r="167" spans="2:57" ht="27" customHeight="1" x14ac:dyDescent="0.25">
      <c r="B167" s="398">
        <f t="shared" si="33"/>
        <v>6</v>
      </c>
      <c r="C167" s="454" t="s">
        <v>33</v>
      </c>
      <c r="D167" s="454" t="s">
        <v>79</v>
      </c>
      <c r="E167" s="446">
        <v>320</v>
      </c>
      <c r="F167" s="421">
        <v>5.1509999999999998</v>
      </c>
      <c r="G167" s="347">
        <v>306.97000000000003</v>
      </c>
      <c r="H167" s="348">
        <v>0.65700000000000003</v>
      </c>
      <c r="I167" s="652">
        <v>320</v>
      </c>
      <c r="J167" s="800">
        <v>5.1509999999999998</v>
      </c>
      <c r="K167" s="346">
        <v>0</v>
      </c>
      <c r="L167" s="560">
        <v>5.3250000000000002</v>
      </c>
      <c r="M167" s="226"/>
      <c r="AB167"/>
      <c r="AC167"/>
      <c r="AD167"/>
      <c r="AE167"/>
      <c r="AF167"/>
      <c r="AG167"/>
      <c r="AH167"/>
      <c r="AI167"/>
      <c r="AJ167"/>
      <c r="AK167"/>
      <c r="AL167"/>
      <c r="AM167"/>
      <c r="AN167"/>
      <c r="AO167"/>
      <c r="AP167" s="363"/>
      <c r="AQ167" s="375">
        <f t="shared" si="30"/>
        <v>98</v>
      </c>
      <c r="AR167">
        <f t="shared" si="32"/>
        <v>1302.54</v>
      </c>
      <c r="AS167">
        <f t="shared" si="31"/>
        <v>0</v>
      </c>
      <c r="AT167"/>
      <c r="AU167"/>
      <c r="AV167"/>
      <c r="AW167"/>
      <c r="AX167"/>
      <c r="AY167"/>
      <c r="AZ167"/>
      <c r="BA167"/>
      <c r="BB167"/>
      <c r="BC167"/>
      <c r="BD167"/>
      <c r="BE167"/>
    </row>
    <row r="168" spans="2:57" ht="27" customHeight="1" x14ac:dyDescent="0.25">
      <c r="B168" s="398">
        <f t="shared" si="33"/>
        <v>7</v>
      </c>
      <c r="C168" s="454" t="s">
        <v>34</v>
      </c>
      <c r="D168" s="454" t="s">
        <v>80</v>
      </c>
      <c r="E168" s="446">
        <v>90</v>
      </c>
      <c r="F168" s="421">
        <v>689.09100000000001</v>
      </c>
      <c r="G168" s="347">
        <v>79.7</v>
      </c>
      <c r="H168" s="347">
        <v>281.37</v>
      </c>
      <c r="I168" s="652">
        <v>84.86</v>
      </c>
      <c r="J168" s="800">
        <v>455.16774964758781</v>
      </c>
      <c r="K168" s="346">
        <v>0</v>
      </c>
      <c r="L168" s="764">
        <v>454.38226395300188</v>
      </c>
      <c r="M168" s="226"/>
      <c r="AB168"/>
      <c r="AC168"/>
      <c r="AD168"/>
      <c r="AE168"/>
      <c r="AF168"/>
      <c r="AG168"/>
      <c r="AH168"/>
      <c r="AI168"/>
      <c r="AJ168"/>
      <c r="AK168"/>
      <c r="AL168"/>
      <c r="AM168"/>
      <c r="AN168"/>
      <c r="AO168"/>
      <c r="AP168" s="363"/>
      <c r="AQ168" s="375">
        <f t="shared" si="30"/>
        <v>99</v>
      </c>
      <c r="AR168">
        <f t="shared" si="32"/>
        <v>1319.08</v>
      </c>
      <c r="AS168">
        <f t="shared" si="31"/>
        <v>0</v>
      </c>
      <c r="AT168"/>
      <c r="AU168"/>
      <c r="AV168"/>
      <c r="AW168"/>
      <c r="AX168"/>
      <c r="AY168"/>
      <c r="AZ168"/>
      <c r="BA168"/>
      <c r="BB168"/>
      <c r="BC168"/>
      <c r="BD168"/>
      <c r="BE168"/>
    </row>
    <row r="169" spans="2:57" ht="27" customHeight="1" x14ac:dyDescent="0.2">
      <c r="B169" s="398">
        <f t="shared" si="33"/>
        <v>8</v>
      </c>
      <c r="C169" s="454" t="s">
        <v>35</v>
      </c>
      <c r="D169" s="454" t="s">
        <v>81</v>
      </c>
      <c r="E169" s="446">
        <v>120.5</v>
      </c>
      <c r="F169" s="421">
        <v>2.0920000000000001</v>
      </c>
      <c r="G169" s="347">
        <v>114.9</v>
      </c>
      <c r="H169" s="399">
        <v>0.22800000000000001</v>
      </c>
      <c r="I169" s="447">
        <v>119.5</v>
      </c>
      <c r="J169" s="800">
        <v>1.371</v>
      </c>
      <c r="K169" s="346">
        <v>0</v>
      </c>
      <c r="L169" s="765">
        <v>1.264</v>
      </c>
      <c r="M169" s="226"/>
      <c r="AB169"/>
      <c r="AC169"/>
      <c r="AD169"/>
      <c r="AE169"/>
      <c r="AF169"/>
      <c r="AG169"/>
      <c r="AH169"/>
      <c r="AI169"/>
      <c r="AJ169"/>
      <c r="AK169"/>
      <c r="AL169"/>
      <c r="AM169"/>
      <c r="AN169"/>
      <c r="AO169"/>
      <c r="AP169" s="363"/>
      <c r="AQ169" s="375">
        <f t="shared" si="30"/>
        <v>100</v>
      </c>
      <c r="AR169">
        <f t="shared" si="32"/>
        <v>1322.54</v>
      </c>
      <c r="AS169">
        <f t="shared" si="31"/>
        <v>0</v>
      </c>
      <c r="AT169"/>
      <c r="AU169"/>
      <c r="AV169"/>
      <c r="AW169"/>
      <c r="AX169"/>
      <c r="AY169"/>
      <c r="AZ169"/>
      <c r="BA169"/>
      <c r="BB169"/>
      <c r="BC169"/>
      <c r="BD169"/>
      <c r="BE169"/>
    </row>
    <row r="170" spans="2:57" ht="27" customHeight="1" x14ac:dyDescent="0.25">
      <c r="B170" s="398">
        <f t="shared" si="33"/>
        <v>9</v>
      </c>
      <c r="C170" s="454" t="s">
        <v>36</v>
      </c>
      <c r="D170" s="454" t="s">
        <v>81</v>
      </c>
      <c r="E170" s="446">
        <v>120.8</v>
      </c>
      <c r="F170" s="421">
        <v>2.3530000000000002</v>
      </c>
      <c r="G170" s="347">
        <v>113.61</v>
      </c>
      <c r="H170" s="399">
        <v>0.35699999999999998</v>
      </c>
      <c r="I170" s="652">
        <v>117.92</v>
      </c>
      <c r="J170" s="800">
        <v>0.68600000000000005</v>
      </c>
      <c r="K170" s="346">
        <v>0</v>
      </c>
      <c r="L170" s="764">
        <v>0.57899999999999996</v>
      </c>
      <c r="M170" s="226"/>
      <c r="AB170"/>
      <c r="AC170"/>
      <c r="AD170"/>
      <c r="AE170"/>
      <c r="AF170"/>
      <c r="AG170"/>
      <c r="AH170"/>
      <c r="AI170"/>
      <c r="AJ170"/>
      <c r="AK170"/>
      <c r="AL170"/>
      <c r="AM170"/>
      <c r="AN170"/>
      <c r="AO170"/>
      <c r="AP170" s="363"/>
      <c r="AQ170" s="375">
        <f t="shared" si="30"/>
        <v>101</v>
      </c>
      <c r="AR170">
        <f t="shared" si="32"/>
        <v>1330.44</v>
      </c>
      <c r="AS170">
        <f t="shared" si="31"/>
        <v>0</v>
      </c>
      <c r="AT170"/>
      <c r="AU170"/>
      <c r="AV170"/>
      <c r="AW170"/>
      <c r="AX170"/>
      <c r="AY170"/>
      <c r="AZ170"/>
      <c r="BA170"/>
      <c r="BB170"/>
      <c r="BC170"/>
      <c r="BD170"/>
      <c r="BE170"/>
    </row>
    <row r="171" spans="2:57" ht="27" customHeight="1" x14ac:dyDescent="0.25">
      <c r="B171" s="398">
        <f t="shared" si="33"/>
        <v>10</v>
      </c>
      <c r="C171" s="454" t="s">
        <v>37</v>
      </c>
      <c r="D171" s="454" t="s">
        <v>82</v>
      </c>
      <c r="E171" s="446">
        <v>46.5</v>
      </c>
      <c r="F171" s="446">
        <v>4.5999999999999996</v>
      </c>
      <c r="G171" s="347">
        <v>43.1</v>
      </c>
      <c r="H171" s="347">
        <v>2.1640000000000001</v>
      </c>
      <c r="I171" s="652">
        <v>40.880000000000003</v>
      </c>
      <c r="J171" s="800">
        <v>0.79600000000000004</v>
      </c>
      <c r="K171" s="346">
        <v>0</v>
      </c>
      <c r="L171" s="764">
        <v>0.84199999999999997</v>
      </c>
      <c r="M171" s="226"/>
      <c r="AB171"/>
      <c r="AC171"/>
      <c r="AD171"/>
      <c r="AE171"/>
      <c r="AF171"/>
      <c r="AG171"/>
      <c r="AH171"/>
      <c r="AI171"/>
      <c r="AJ171"/>
      <c r="AK171"/>
      <c r="AL171"/>
      <c r="AM171"/>
      <c r="AN171"/>
      <c r="AO171"/>
      <c r="AP171" s="363"/>
      <c r="AQ171" s="375">
        <f t="shared" si="30"/>
        <v>102</v>
      </c>
      <c r="AR171">
        <f t="shared" si="32"/>
        <v>1342.59</v>
      </c>
      <c r="AS171">
        <f t="shared" si="31"/>
        <v>0</v>
      </c>
      <c r="AT171"/>
      <c r="AU171"/>
      <c r="AV171"/>
      <c r="AW171"/>
      <c r="AX171"/>
      <c r="AY171"/>
      <c r="AZ171"/>
      <c r="BA171"/>
      <c r="BB171"/>
      <c r="BC171"/>
      <c r="BD171"/>
      <c r="BE171"/>
    </row>
    <row r="172" spans="2:57" ht="27" customHeight="1" x14ac:dyDescent="0.25">
      <c r="B172" s="398">
        <f t="shared" si="33"/>
        <v>11</v>
      </c>
      <c r="C172" s="454" t="s">
        <v>39</v>
      </c>
      <c r="D172" s="454" t="s">
        <v>82</v>
      </c>
      <c r="E172" s="446">
        <v>51.5</v>
      </c>
      <c r="F172" s="421">
        <v>2.4159999999999999</v>
      </c>
      <c r="G172" s="347">
        <v>46.86</v>
      </c>
      <c r="H172" s="347">
        <v>0.90600000000000003</v>
      </c>
      <c r="I172" s="653">
        <v>51.43</v>
      </c>
      <c r="J172" s="800">
        <v>2.548</v>
      </c>
      <c r="K172" s="346">
        <v>0</v>
      </c>
      <c r="L172" s="764">
        <v>2.266</v>
      </c>
      <c r="M172" s="226"/>
      <c r="AB172"/>
      <c r="AC172"/>
      <c r="AD172"/>
      <c r="AE172"/>
      <c r="AF172"/>
      <c r="AG172"/>
      <c r="AH172"/>
      <c r="AI172"/>
      <c r="AJ172"/>
      <c r="AK172"/>
      <c r="AL172"/>
      <c r="AM172"/>
      <c r="AN172"/>
      <c r="AO172"/>
      <c r="AP172" s="363"/>
      <c r="AQ172" s="375">
        <f t="shared" si="30"/>
        <v>103</v>
      </c>
      <c r="AR172">
        <f t="shared" si="32"/>
        <v>1336.47</v>
      </c>
      <c r="AS172">
        <f t="shared" si="31"/>
        <v>0</v>
      </c>
      <c r="AT172"/>
      <c r="AU172"/>
      <c r="AV172"/>
      <c r="AW172"/>
      <c r="AX172"/>
      <c r="AY172"/>
      <c r="AZ172"/>
      <c r="BA172"/>
      <c r="BB172"/>
      <c r="BC172"/>
      <c r="BD172"/>
      <c r="BE172"/>
    </row>
    <row r="173" spans="2:57" ht="27" customHeight="1" x14ac:dyDescent="0.25">
      <c r="B173" s="398">
        <f t="shared" si="33"/>
        <v>12</v>
      </c>
      <c r="C173" s="454" t="s">
        <v>40</v>
      </c>
      <c r="D173" s="454" t="s">
        <v>80</v>
      </c>
      <c r="E173" s="446">
        <v>81</v>
      </c>
      <c r="F173" s="421">
        <v>1.093</v>
      </c>
      <c r="G173" s="347">
        <v>73.94</v>
      </c>
      <c r="H173" s="399">
        <v>0.18</v>
      </c>
      <c r="I173" s="652">
        <v>75.010000000000005</v>
      </c>
      <c r="J173" s="800">
        <v>0.314</v>
      </c>
      <c r="K173" s="346">
        <v>0</v>
      </c>
      <c r="L173" s="764">
        <v>0.28399999999999997</v>
      </c>
      <c r="M173" s="226"/>
      <c r="AB173"/>
      <c r="AC173"/>
      <c r="AD173"/>
      <c r="AE173"/>
      <c r="AF173"/>
      <c r="AG173"/>
      <c r="AH173"/>
      <c r="AI173"/>
      <c r="AJ173"/>
      <c r="AK173"/>
      <c r="AL173"/>
      <c r="AM173"/>
      <c r="AN173"/>
      <c r="AO173"/>
      <c r="AP173" s="363"/>
      <c r="AQ173" s="375">
        <f t="shared" si="30"/>
        <v>104</v>
      </c>
      <c r="AR173">
        <f t="shared" si="32"/>
        <v>1334.88</v>
      </c>
      <c r="AS173">
        <f t="shared" si="31"/>
        <v>0</v>
      </c>
      <c r="AT173"/>
      <c r="AU173"/>
      <c r="AV173"/>
      <c r="AW173"/>
      <c r="AX173"/>
      <c r="AY173"/>
      <c r="AZ173"/>
      <c r="BA173"/>
      <c r="BB173"/>
      <c r="BC173"/>
      <c r="BD173"/>
      <c r="BE173"/>
    </row>
    <row r="174" spans="2:57" ht="27" customHeight="1" x14ac:dyDescent="0.25">
      <c r="B174" s="398">
        <f t="shared" si="33"/>
        <v>13</v>
      </c>
      <c r="C174" s="454" t="s">
        <v>41</v>
      </c>
      <c r="D174" s="454" t="s">
        <v>80</v>
      </c>
      <c r="E174" s="446">
        <v>82.8</v>
      </c>
      <c r="F174" s="421">
        <v>0.42899999999999999</v>
      </c>
      <c r="G174" s="347">
        <v>80.02</v>
      </c>
      <c r="H174" s="399">
        <v>8.4000000000000005E-2</v>
      </c>
      <c r="I174" s="652">
        <v>78</v>
      </c>
      <c r="J174" s="800">
        <v>0</v>
      </c>
      <c r="K174" s="346">
        <v>0</v>
      </c>
      <c r="L174" s="764">
        <v>0</v>
      </c>
      <c r="M174" s="226"/>
      <c r="AB174"/>
      <c r="AC174"/>
      <c r="AD174"/>
      <c r="AE174"/>
      <c r="AF174"/>
      <c r="AG174"/>
      <c r="AH174"/>
      <c r="AI174"/>
      <c r="AJ174"/>
      <c r="AK174"/>
      <c r="AL174"/>
      <c r="AM174"/>
      <c r="AN174"/>
      <c r="AO174"/>
      <c r="AP174" s="363"/>
      <c r="AQ174" s="375">
        <f t="shared" si="30"/>
        <v>105</v>
      </c>
      <c r="AR174">
        <f t="shared" si="32"/>
        <v>1344.69</v>
      </c>
      <c r="AS174">
        <f t="shared" si="31"/>
        <v>0</v>
      </c>
      <c r="AT174"/>
      <c r="AU174"/>
      <c r="AV174"/>
      <c r="AW174"/>
      <c r="AX174"/>
      <c r="AY174"/>
      <c r="AZ174"/>
      <c r="BA174"/>
      <c r="BB174"/>
      <c r="BC174"/>
      <c r="BD174"/>
      <c r="BE174"/>
    </row>
    <row r="175" spans="2:57" ht="27" customHeight="1" x14ac:dyDescent="0.25">
      <c r="B175" s="398">
        <f t="shared" si="33"/>
        <v>14</v>
      </c>
      <c r="C175" s="454" t="s">
        <v>42</v>
      </c>
      <c r="D175" s="454" t="s">
        <v>80</v>
      </c>
      <c r="E175" s="446">
        <v>69.95</v>
      </c>
      <c r="F175" s="421">
        <v>0.25</v>
      </c>
      <c r="G175" s="347">
        <v>67.95</v>
      </c>
      <c r="H175" s="446">
        <v>69.900000000000006</v>
      </c>
      <c r="I175" s="652">
        <v>62.83</v>
      </c>
      <c r="J175" s="800">
        <v>0.128</v>
      </c>
      <c r="K175" s="346">
        <v>0</v>
      </c>
      <c r="L175" s="764">
        <v>0</v>
      </c>
      <c r="M175" s="226"/>
      <c r="AB175"/>
      <c r="AC175"/>
      <c r="AD175"/>
      <c r="AE175"/>
      <c r="AF175"/>
      <c r="AG175"/>
      <c r="AH175"/>
      <c r="AI175"/>
      <c r="AJ175"/>
      <c r="AK175"/>
      <c r="AL175"/>
      <c r="AM175"/>
      <c r="AN175"/>
      <c r="AO175"/>
      <c r="AP175" s="363"/>
      <c r="AQ175" s="375">
        <f t="shared" si="30"/>
        <v>106</v>
      </c>
      <c r="AR175">
        <f t="shared" si="32"/>
        <v>1344.36</v>
      </c>
      <c r="AS175">
        <f t="shared" si="31"/>
        <v>0</v>
      </c>
      <c r="AT175"/>
      <c r="AU175"/>
      <c r="AV175"/>
      <c r="AW175"/>
      <c r="AX175"/>
      <c r="AY175"/>
      <c r="AZ175"/>
      <c r="BA175"/>
      <c r="BB175"/>
      <c r="BC175"/>
      <c r="BD175"/>
      <c r="BE175"/>
    </row>
    <row r="176" spans="2:57" ht="27" customHeight="1" x14ac:dyDescent="0.25">
      <c r="B176" s="398">
        <f t="shared" si="33"/>
        <v>15</v>
      </c>
      <c r="C176" s="454" t="s">
        <v>43</v>
      </c>
      <c r="D176" s="454" t="s">
        <v>80</v>
      </c>
      <c r="E176" s="446">
        <v>48.2</v>
      </c>
      <c r="F176" s="421">
        <v>0.38500000000000001</v>
      </c>
      <c r="G176" s="347">
        <v>44.16</v>
      </c>
      <c r="H176" s="399">
        <v>8.9999999999999993E-3</v>
      </c>
      <c r="I176" s="652">
        <v>46.92</v>
      </c>
      <c r="J176" s="800">
        <v>0.39400000000000002</v>
      </c>
      <c r="K176" s="346">
        <v>0</v>
      </c>
      <c r="L176" s="764">
        <v>0.38400000000000001</v>
      </c>
      <c r="M176" s="226"/>
      <c r="AB176"/>
      <c r="AC176"/>
      <c r="AD176"/>
      <c r="AE176"/>
      <c r="AF176"/>
      <c r="AG176"/>
      <c r="AH176"/>
      <c r="AI176"/>
      <c r="AJ176"/>
      <c r="AK176"/>
      <c r="AL176"/>
      <c r="AM176"/>
      <c r="AN176"/>
      <c r="AO176"/>
      <c r="AP176" s="363"/>
      <c r="AQ176" s="375">
        <f t="shared" si="30"/>
        <v>107</v>
      </c>
      <c r="AR176">
        <f t="shared" si="32"/>
        <v>1341.98</v>
      </c>
      <c r="AS176">
        <f t="shared" si="31"/>
        <v>0</v>
      </c>
      <c r="AT176"/>
      <c r="AU176"/>
      <c r="AV176"/>
      <c r="AW176"/>
      <c r="AX176"/>
      <c r="AY176"/>
      <c r="AZ176"/>
      <c r="BA176"/>
      <c r="BB176"/>
      <c r="BC176"/>
      <c r="BD176"/>
      <c r="BE176"/>
    </row>
    <row r="177" spans="2:57" ht="27" customHeight="1" x14ac:dyDescent="0.2">
      <c r="B177" s="398">
        <f t="shared" si="33"/>
        <v>16</v>
      </c>
      <c r="C177" s="454" t="s">
        <v>83</v>
      </c>
      <c r="D177" s="454" t="s">
        <v>44</v>
      </c>
      <c r="E177" s="446">
        <v>136</v>
      </c>
      <c r="F177" s="421">
        <v>440</v>
      </c>
      <c r="G177" s="347">
        <v>127.3</v>
      </c>
      <c r="H177" s="347">
        <v>64.974000000000004</v>
      </c>
      <c r="I177" s="347">
        <v>135.82</v>
      </c>
      <c r="J177" s="807">
        <v>356.41753090999998</v>
      </c>
      <c r="K177" s="346">
        <v>0</v>
      </c>
      <c r="L177" s="563">
        <v>373.39748630000003</v>
      </c>
      <c r="M177" s="226"/>
      <c r="AB177"/>
      <c r="AC177"/>
      <c r="AD177"/>
      <c r="AE177"/>
      <c r="AF177"/>
      <c r="AG177"/>
      <c r="AH177"/>
      <c r="AI177"/>
      <c r="AJ177"/>
      <c r="AK177"/>
      <c r="AL177"/>
      <c r="AM177"/>
      <c r="AN177"/>
      <c r="AO177"/>
      <c r="AP177" s="363"/>
      <c r="AQ177" s="375">
        <f t="shared" si="30"/>
        <v>108</v>
      </c>
      <c r="AR177">
        <f t="shared" si="32"/>
        <v>1336.75</v>
      </c>
      <c r="AS177">
        <f t="shared" si="31"/>
        <v>0</v>
      </c>
      <c r="AT177"/>
      <c r="AU177"/>
      <c r="AV177"/>
      <c r="AW177"/>
      <c r="AX177"/>
      <c r="AY177"/>
      <c r="AZ177"/>
      <c r="BA177"/>
      <c r="BB177"/>
      <c r="BC177"/>
      <c r="BD177"/>
      <c r="BE177"/>
    </row>
    <row r="178" spans="2:57" ht="27" customHeight="1" x14ac:dyDescent="0.2">
      <c r="B178" s="398">
        <f t="shared" si="33"/>
        <v>17</v>
      </c>
      <c r="C178" s="454" t="s">
        <v>45</v>
      </c>
      <c r="D178" s="454" t="s">
        <v>44</v>
      </c>
      <c r="E178" s="446">
        <v>113.5</v>
      </c>
      <c r="F178" s="421">
        <v>3.7519999999999998</v>
      </c>
      <c r="G178" s="347">
        <v>104.42</v>
      </c>
      <c r="H178" s="347">
        <v>0.54500000000000004</v>
      </c>
      <c r="I178" s="348">
        <v>112.23</v>
      </c>
      <c r="J178" s="807">
        <v>0.40198454</v>
      </c>
      <c r="K178" s="346">
        <v>0</v>
      </c>
      <c r="L178" s="563">
        <v>0.44727294000000001</v>
      </c>
      <c r="M178" s="226"/>
      <c r="AB178"/>
      <c r="AC178"/>
      <c r="AD178"/>
      <c r="AE178"/>
      <c r="AF178"/>
      <c r="AG178"/>
      <c r="AH178"/>
      <c r="AI178"/>
      <c r="AJ178"/>
      <c r="AK178"/>
      <c r="AL178"/>
      <c r="AM178"/>
      <c r="AN178"/>
      <c r="AO178"/>
      <c r="AP178" s="363"/>
      <c r="AQ178" s="375">
        <f t="shared" si="30"/>
        <v>109</v>
      </c>
      <c r="AR178">
        <f t="shared" si="32"/>
        <v>1343.62</v>
      </c>
      <c r="AS178">
        <f t="shared" si="31"/>
        <v>0</v>
      </c>
      <c r="AT178"/>
      <c r="AU178"/>
      <c r="AV178"/>
      <c r="AW178"/>
      <c r="AX178"/>
      <c r="AY178"/>
      <c r="AZ178"/>
      <c r="BA178"/>
      <c r="BB178"/>
      <c r="BC178"/>
      <c r="BD178"/>
      <c r="BE178"/>
    </row>
    <row r="179" spans="2:57" ht="27" customHeight="1" x14ac:dyDescent="0.2">
      <c r="B179" s="398">
        <f t="shared" si="33"/>
        <v>18</v>
      </c>
      <c r="C179" s="454" t="s">
        <v>46</v>
      </c>
      <c r="D179" s="454" t="s">
        <v>44</v>
      </c>
      <c r="E179" s="446">
        <v>225.4</v>
      </c>
      <c r="F179" s="446">
        <v>1.2</v>
      </c>
      <c r="G179" s="347">
        <v>223.12</v>
      </c>
      <c r="H179" s="347">
        <v>7.0999999999999994E-2</v>
      </c>
      <c r="I179" s="347">
        <v>202.3</v>
      </c>
      <c r="J179" s="807">
        <v>0.18823000000000001</v>
      </c>
      <c r="K179" s="346">
        <v>0</v>
      </c>
      <c r="L179" s="563">
        <v>0.29848999999999998</v>
      </c>
      <c r="M179" s="224"/>
      <c r="AB179"/>
      <c r="AC179"/>
      <c r="AD179"/>
      <c r="AE179"/>
      <c r="AF179"/>
      <c r="AG179"/>
      <c r="AH179"/>
      <c r="AI179"/>
      <c r="AJ179"/>
      <c r="AK179"/>
      <c r="AL179"/>
      <c r="AM179"/>
      <c r="AN179"/>
      <c r="AO179"/>
      <c r="AP179" s="363"/>
      <c r="AQ179" s="375">
        <f t="shared" si="30"/>
        <v>110</v>
      </c>
      <c r="AR179">
        <f t="shared" si="32"/>
        <v>1338.36</v>
      </c>
      <c r="AS179">
        <f t="shared" si="31"/>
        <v>0</v>
      </c>
      <c r="AT179"/>
      <c r="AU179"/>
      <c r="AV179"/>
      <c r="AW179"/>
      <c r="AX179"/>
      <c r="AY179"/>
      <c r="AZ179"/>
      <c r="BA179"/>
      <c r="BB179"/>
      <c r="BC179"/>
      <c r="BD179"/>
      <c r="BE179"/>
    </row>
    <row r="180" spans="2:57" ht="27" customHeight="1" x14ac:dyDescent="0.2">
      <c r="B180" s="398">
        <f t="shared" si="33"/>
        <v>19</v>
      </c>
      <c r="C180" s="454" t="s">
        <v>47</v>
      </c>
      <c r="D180" s="454" t="s">
        <v>44</v>
      </c>
      <c r="E180" s="446">
        <v>224</v>
      </c>
      <c r="F180" s="421">
        <v>0.6</v>
      </c>
      <c r="G180" s="347">
        <v>215.98</v>
      </c>
      <c r="H180" s="347">
        <v>0.105</v>
      </c>
      <c r="I180" s="348">
        <v>223.33</v>
      </c>
      <c r="J180" s="808">
        <v>0.53300000000000003</v>
      </c>
      <c r="K180" s="346">
        <v>0</v>
      </c>
      <c r="L180" s="565">
        <v>0.57499999999999996</v>
      </c>
      <c r="M180" s="226"/>
      <c r="AB180"/>
      <c r="AC180"/>
      <c r="AD180"/>
      <c r="AE180"/>
      <c r="AF180"/>
      <c r="AG180"/>
      <c r="AH180"/>
      <c r="AI180"/>
      <c r="AJ180"/>
      <c r="AK180"/>
      <c r="AL180"/>
      <c r="AM180"/>
      <c r="AN180"/>
      <c r="AO180"/>
      <c r="AP180" s="363"/>
      <c r="AQ180" s="375">
        <f t="shared" si="30"/>
        <v>111</v>
      </c>
      <c r="AR180">
        <f t="shared" si="32"/>
        <v>1337.14</v>
      </c>
      <c r="AS180">
        <f t="shared" si="31"/>
        <v>0</v>
      </c>
      <c r="AT180"/>
      <c r="AU180"/>
      <c r="AV180"/>
      <c r="AW180"/>
      <c r="AX180"/>
      <c r="AY180"/>
      <c r="AZ180"/>
      <c r="BA180"/>
      <c r="BB180"/>
      <c r="BC180"/>
      <c r="BD180"/>
      <c r="BE180"/>
    </row>
    <row r="181" spans="2:57" ht="27" customHeight="1" x14ac:dyDescent="0.2">
      <c r="B181" s="398">
        <f t="shared" si="33"/>
        <v>20</v>
      </c>
      <c r="C181" s="454" t="s">
        <v>48</v>
      </c>
      <c r="D181" s="454" t="s">
        <v>44</v>
      </c>
      <c r="E181" s="446">
        <v>196</v>
      </c>
      <c r="F181" s="421">
        <v>1.5820000000000001</v>
      </c>
      <c r="G181" s="347">
        <v>189.04</v>
      </c>
      <c r="H181" s="347">
        <v>0.41899999999999998</v>
      </c>
      <c r="I181" s="348">
        <v>194.54</v>
      </c>
      <c r="J181" s="807">
        <v>0.28967080000000001</v>
      </c>
      <c r="K181" s="346">
        <v>0</v>
      </c>
      <c r="L181" s="563">
        <v>0.44329160000000001</v>
      </c>
      <c r="M181" s="226"/>
      <c r="AB181"/>
      <c r="AC181"/>
      <c r="AD181"/>
      <c r="AE181"/>
      <c r="AF181"/>
      <c r="AG181"/>
      <c r="AH181"/>
      <c r="AI181"/>
      <c r="AJ181"/>
      <c r="AK181"/>
      <c r="AL181"/>
      <c r="AM181"/>
      <c r="AN181"/>
      <c r="AO181"/>
      <c r="AP181" s="363"/>
      <c r="AQ181" s="375">
        <f t="shared" si="30"/>
        <v>112</v>
      </c>
      <c r="AR181">
        <f t="shared" si="32"/>
        <v>1325.84</v>
      </c>
      <c r="AS181">
        <f t="shared" si="31"/>
        <v>0</v>
      </c>
      <c r="AT181"/>
      <c r="AU181"/>
      <c r="AV181"/>
      <c r="AW181"/>
      <c r="AX181"/>
      <c r="AY181"/>
      <c r="AZ181"/>
      <c r="BA181"/>
      <c r="BB181"/>
      <c r="BC181"/>
      <c r="BD181"/>
      <c r="BE181"/>
    </row>
    <row r="182" spans="2:57" ht="27" customHeight="1" x14ac:dyDescent="0.2">
      <c r="B182" s="398">
        <f t="shared" si="33"/>
        <v>21</v>
      </c>
      <c r="C182" s="454" t="s">
        <v>49</v>
      </c>
      <c r="D182" s="454" t="s">
        <v>44</v>
      </c>
      <c r="E182" s="446">
        <v>174</v>
      </c>
      <c r="F182" s="421">
        <v>0.47899999999999998</v>
      </c>
      <c r="G182" s="347">
        <v>172.38</v>
      </c>
      <c r="H182" s="347">
        <v>7.3999999999999996E-2</v>
      </c>
      <c r="I182" s="348">
        <v>170.08</v>
      </c>
      <c r="J182" s="807">
        <v>0.13088079999999999</v>
      </c>
      <c r="K182" s="346">
        <v>0</v>
      </c>
      <c r="L182" s="563">
        <v>0.16196559999999999</v>
      </c>
      <c r="M182" s="226"/>
      <c r="AB182"/>
      <c r="AC182"/>
      <c r="AD182"/>
      <c r="AE182"/>
      <c r="AF182"/>
      <c r="AG182"/>
      <c r="AH182"/>
      <c r="AI182"/>
      <c r="AJ182"/>
      <c r="AK182"/>
      <c r="AL182"/>
      <c r="AM182"/>
      <c r="AN182"/>
      <c r="AO182"/>
      <c r="AP182" s="363"/>
      <c r="AQ182" s="375">
        <f t="shared" si="30"/>
        <v>113</v>
      </c>
      <c r="AR182">
        <f t="shared" si="32"/>
        <v>1325.68</v>
      </c>
      <c r="AS182">
        <f t="shared" si="31"/>
        <v>0</v>
      </c>
      <c r="AT182"/>
      <c r="AU182"/>
      <c r="AV182"/>
      <c r="AW182"/>
      <c r="AX182"/>
      <c r="AY182"/>
      <c r="AZ182"/>
      <c r="BA182"/>
      <c r="BB182"/>
      <c r="BC182"/>
      <c r="BD182"/>
      <c r="BE182"/>
    </row>
    <row r="183" spans="2:57" ht="27" customHeight="1" x14ac:dyDescent="0.2">
      <c r="B183" s="395">
        <v>22</v>
      </c>
      <c r="C183" s="396" t="s">
        <v>50</v>
      </c>
      <c r="D183" s="396" t="s">
        <v>44</v>
      </c>
      <c r="E183" s="422">
        <v>229.1</v>
      </c>
      <c r="F183" s="449">
        <v>0.79200000000000004</v>
      </c>
      <c r="G183" s="346">
        <v>222.84</v>
      </c>
      <c r="H183" s="346">
        <v>0.28000000000000003</v>
      </c>
      <c r="I183" s="492">
        <v>225.91</v>
      </c>
      <c r="J183" s="809">
        <v>0.52025100000000002</v>
      </c>
      <c r="K183" s="346">
        <v>0</v>
      </c>
      <c r="L183" s="565">
        <v>0.52627800000000002</v>
      </c>
      <c r="M183" s="226"/>
      <c r="AB183"/>
      <c r="AC183"/>
      <c r="AD183"/>
      <c r="AE183"/>
      <c r="AF183"/>
      <c r="AG183"/>
      <c r="AH183"/>
      <c r="AI183"/>
      <c r="AJ183"/>
      <c r="AK183"/>
      <c r="AL183"/>
      <c r="AM183"/>
      <c r="AN183"/>
      <c r="AO183"/>
      <c r="AP183" s="363"/>
      <c r="AQ183" s="375">
        <f t="shared" si="30"/>
        <v>114</v>
      </c>
      <c r="AR183">
        <f t="shared" si="32"/>
        <v>1325.5</v>
      </c>
      <c r="AS183">
        <f t="shared" si="31"/>
        <v>0</v>
      </c>
      <c r="AT183"/>
      <c r="AU183"/>
      <c r="AV183"/>
      <c r="AW183"/>
      <c r="AX183"/>
      <c r="AY183"/>
      <c r="AZ183"/>
      <c r="BA183"/>
      <c r="BB183"/>
      <c r="BC183"/>
      <c r="BD183"/>
      <c r="BE183"/>
    </row>
    <row r="184" spans="2:57" ht="27" customHeight="1" x14ac:dyDescent="0.2">
      <c r="B184" s="398">
        <f t="shared" si="33"/>
        <v>23</v>
      </c>
      <c r="C184" s="454" t="s">
        <v>51</v>
      </c>
      <c r="D184" s="454" t="s">
        <v>44</v>
      </c>
      <c r="E184" s="446">
        <v>249</v>
      </c>
      <c r="F184" s="421">
        <v>2.1240000000000001</v>
      </c>
      <c r="G184" s="347">
        <v>239.52</v>
      </c>
      <c r="H184" s="347">
        <v>0.187</v>
      </c>
      <c r="I184" s="348">
        <v>243.16</v>
      </c>
      <c r="J184" s="808">
        <v>0.643154</v>
      </c>
      <c r="K184" s="346">
        <v>0</v>
      </c>
      <c r="L184" s="565">
        <v>0.643154</v>
      </c>
      <c r="M184" s="226"/>
      <c r="AB184"/>
      <c r="AC184"/>
      <c r="AD184"/>
      <c r="AE184"/>
      <c r="AF184"/>
      <c r="AG184"/>
      <c r="AH184"/>
      <c r="AI184"/>
      <c r="AJ184"/>
      <c r="AK184"/>
      <c r="AL184"/>
      <c r="AM184"/>
      <c r="AN184"/>
      <c r="AO184"/>
      <c r="AP184" s="363"/>
      <c r="AQ184" s="375">
        <f t="shared" si="30"/>
        <v>115</v>
      </c>
      <c r="AR184">
        <f t="shared" si="32"/>
        <v>1331.05</v>
      </c>
      <c r="AS184">
        <f t="shared" si="31"/>
        <v>0</v>
      </c>
      <c r="AT184"/>
      <c r="AU184"/>
      <c r="AV184"/>
      <c r="AW184"/>
      <c r="AX184"/>
      <c r="AY184"/>
      <c r="AZ184"/>
      <c r="BA184"/>
      <c r="BB184"/>
      <c r="BC184"/>
      <c r="BD184"/>
      <c r="BE184"/>
    </row>
    <row r="185" spans="2:57" ht="27" customHeight="1" x14ac:dyDescent="0.2">
      <c r="B185" s="398">
        <f t="shared" si="33"/>
        <v>24</v>
      </c>
      <c r="C185" s="454" t="s">
        <v>52</v>
      </c>
      <c r="D185" s="454" t="s">
        <v>84</v>
      </c>
      <c r="E185" s="446">
        <v>164.75</v>
      </c>
      <c r="F185" s="446">
        <v>5</v>
      </c>
      <c r="G185" s="347">
        <v>154.43</v>
      </c>
      <c r="H185" s="347">
        <v>0.503</v>
      </c>
      <c r="I185" s="347">
        <v>149.51</v>
      </c>
      <c r="J185" s="808">
        <v>3.1895257099999998</v>
      </c>
      <c r="K185" s="346">
        <v>0</v>
      </c>
      <c r="L185" s="565">
        <v>2.8960582100000001</v>
      </c>
      <c r="M185" s="226"/>
      <c r="AB185"/>
      <c r="AC185"/>
      <c r="AD185"/>
      <c r="AE185"/>
      <c r="AF185"/>
      <c r="AG185"/>
      <c r="AH185"/>
      <c r="AI185"/>
      <c r="AJ185"/>
      <c r="AK185"/>
      <c r="AL185"/>
      <c r="AM185"/>
      <c r="AN185"/>
      <c r="AO185"/>
      <c r="AP185" s="363"/>
      <c r="AQ185" s="375">
        <f t="shared" si="30"/>
        <v>116</v>
      </c>
      <c r="AR185">
        <f t="shared" si="32"/>
        <v>1330.25</v>
      </c>
      <c r="AS185">
        <f t="shared" si="31"/>
        <v>0</v>
      </c>
      <c r="AT185"/>
      <c r="AU185"/>
      <c r="AV185"/>
      <c r="AW185"/>
      <c r="AX185"/>
      <c r="AY185"/>
      <c r="AZ185"/>
      <c r="BA185"/>
      <c r="BB185"/>
      <c r="BC185"/>
      <c r="BD185"/>
      <c r="BE185"/>
    </row>
    <row r="186" spans="2:57" ht="27" customHeight="1" x14ac:dyDescent="0.2">
      <c r="B186" s="398">
        <f t="shared" si="33"/>
        <v>25</v>
      </c>
      <c r="C186" s="454" t="s">
        <v>53</v>
      </c>
      <c r="D186" s="454" t="s">
        <v>84</v>
      </c>
      <c r="E186" s="446">
        <v>179.1</v>
      </c>
      <c r="F186" s="421">
        <v>4.2</v>
      </c>
      <c r="G186" s="348">
        <v>166.32</v>
      </c>
      <c r="H186" s="348">
        <v>0.39800000000000002</v>
      </c>
      <c r="I186" s="347">
        <v>231.24</v>
      </c>
      <c r="J186" s="807">
        <v>2.6184993200000002</v>
      </c>
      <c r="K186" s="346">
        <v>0</v>
      </c>
      <c r="L186" s="563">
        <v>3.0874263000000002</v>
      </c>
      <c r="M186" s="226"/>
      <c r="AB186"/>
      <c r="AC186"/>
      <c r="AD186"/>
      <c r="AE186"/>
      <c r="AF186"/>
      <c r="AG186"/>
      <c r="AH186"/>
      <c r="AI186"/>
      <c r="AJ186"/>
      <c r="AK186"/>
      <c r="AL186"/>
      <c r="AM186"/>
      <c r="AN186"/>
      <c r="AO186"/>
      <c r="AP186" s="363"/>
      <c r="AQ186" s="375">
        <f t="shared" si="30"/>
        <v>117</v>
      </c>
      <c r="AR186">
        <f t="shared" si="32"/>
        <v>1325.57</v>
      </c>
      <c r="AS186">
        <f t="shared" si="31"/>
        <v>0</v>
      </c>
      <c r="AT186"/>
      <c r="AU186"/>
      <c r="AV186"/>
      <c r="AW186"/>
      <c r="AX186"/>
      <c r="AY186"/>
      <c r="AZ186"/>
      <c r="BA186"/>
      <c r="BB186"/>
      <c r="BC186"/>
      <c r="BD186"/>
      <c r="BE186"/>
    </row>
    <row r="187" spans="2:57" ht="27" customHeight="1" x14ac:dyDescent="0.2">
      <c r="B187" s="398">
        <f t="shared" si="33"/>
        <v>26</v>
      </c>
      <c r="C187" s="454" t="s">
        <v>54</v>
      </c>
      <c r="D187" s="454" t="s">
        <v>85</v>
      </c>
      <c r="E187" s="446">
        <v>325.56</v>
      </c>
      <c r="F187" s="421">
        <v>0.70099999999999996</v>
      </c>
      <c r="G187" s="348">
        <v>315.85000000000002</v>
      </c>
      <c r="H187" s="348">
        <v>0.114</v>
      </c>
      <c r="I187" s="348">
        <v>324.93</v>
      </c>
      <c r="J187" s="808">
        <v>0.64304830000000002</v>
      </c>
      <c r="K187" s="346">
        <v>0</v>
      </c>
      <c r="L187" s="565">
        <v>6.9574786</v>
      </c>
      <c r="M187" s="226"/>
      <c r="AB187"/>
      <c r="AC187"/>
      <c r="AD187"/>
      <c r="AE187"/>
      <c r="AF187"/>
      <c r="AG187"/>
      <c r="AH187"/>
      <c r="AI187"/>
      <c r="AJ187"/>
      <c r="AK187"/>
      <c r="AL187"/>
      <c r="AM187"/>
      <c r="AN187"/>
      <c r="AO187"/>
      <c r="AP187" s="363"/>
      <c r="AQ187" s="375">
        <f t="shared" si="30"/>
        <v>118</v>
      </c>
      <c r="AR187">
        <f t="shared" si="32"/>
        <v>1325.65</v>
      </c>
      <c r="AS187">
        <f t="shared" si="31"/>
        <v>0</v>
      </c>
      <c r="AT187"/>
      <c r="AU187"/>
      <c r="AV187"/>
      <c r="AW187"/>
      <c r="AX187"/>
      <c r="AY187"/>
      <c r="AZ187"/>
      <c r="BA187"/>
      <c r="BB187"/>
      <c r="BC187"/>
      <c r="BD187"/>
      <c r="BE187"/>
    </row>
    <row r="188" spans="2:57" ht="27" customHeight="1" x14ac:dyDescent="0.2">
      <c r="B188" s="398">
        <f t="shared" si="33"/>
        <v>27</v>
      </c>
      <c r="C188" s="454" t="s">
        <v>55</v>
      </c>
      <c r="D188" s="454" t="s">
        <v>85</v>
      </c>
      <c r="E188" s="446">
        <v>129.19999999999999</v>
      </c>
      <c r="F188" s="421">
        <v>0.5</v>
      </c>
      <c r="G188" s="347">
        <v>123.6</v>
      </c>
      <c r="H188" s="347">
        <v>2.9000000000000001E-2</v>
      </c>
      <c r="I188" s="348">
        <v>129.19999999999999</v>
      </c>
      <c r="J188" s="807">
        <v>0.5</v>
      </c>
      <c r="K188" s="346">
        <v>0</v>
      </c>
      <c r="L188" s="563">
        <v>0.5</v>
      </c>
      <c r="M188" s="226"/>
      <c r="AB188"/>
      <c r="AC188"/>
      <c r="AD188"/>
      <c r="AE188"/>
      <c r="AF188"/>
      <c r="AG188"/>
      <c r="AH188"/>
      <c r="AI188"/>
      <c r="AJ188"/>
      <c r="AK188"/>
      <c r="AL188"/>
      <c r="AM188"/>
      <c r="AN188"/>
      <c r="AO188"/>
      <c r="AP188" s="363"/>
      <c r="AQ188" s="375">
        <f t="shared" si="30"/>
        <v>119</v>
      </c>
      <c r="AR188">
        <f t="shared" si="32"/>
        <v>1330.46</v>
      </c>
      <c r="AS188">
        <f t="shared" si="31"/>
        <v>0</v>
      </c>
      <c r="AT188"/>
      <c r="AU188"/>
      <c r="AV188"/>
      <c r="AW188"/>
      <c r="AX188"/>
      <c r="AY188"/>
      <c r="AZ188"/>
      <c r="BA188"/>
      <c r="BB188"/>
      <c r="BC188"/>
      <c r="BD188"/>
      <c r="BE188"/>
    </row>
    <row r="189" spans="2:57" ht="27" customHeight="1" x14ac:dyDescent="0.2">
      <c r="B189" s="398">
        <f t="shared" si="33"/>
        <v>28</v>
      </c>
      <c r="C189" s="454" t="s">
        <v>56</v>
      </c>
      <c r="D189" s="454" t="s">
        <v>85</v>
      </c>
      <c r="E189" s="446">
        <v>282.77999999999997</v>
      </c>
      <c r="F189" s="421">
        <v>0.51300000000000001</v>
      </c>
      <c r="G189" s="347">
        <v>277.87</v>
      </c>
      <c r="H189" s="347">
        <v>7.3999999999999996E-2</v>
      </c>
      <c r="I189" s="347">
        <v>282.77999999999997</v>
      </c>
      <c r="J189" s="807">
        <v>0.57354000000000005</v>
      </c>
      <c r="K189" s="346">
        <v>0</v>
      </c>
      <c r="L189" s="563">
        <v>0.57354000000000005</v>
      </c>
      <c r="M189" s="226"/>
      <c r="AB189"/>
      <c r="AC189"/>
      <c r="AD189"/>
      <c r="AE189"/>
      <c r="AF189"/>
      <c r="AG189"/>
      <c r="AH189"/>
      <c r="AI189"/>
      <c r="AJ189"/>
      <c r="AK189"/>
      <c r="AL189"/>
      <c r="AM189"/>
      <c r="AN189"/>
      <c r="AO189"/>
      <c r="AP189" s="363"/>
      <c r="AQ189" s="375">
        <f t="shared" si="30"/>
        <v>120</v>
      </c>
      <c r="AR189">
        <f t="shared" si="32"/>
        <v>1329.06</v>
      </c>
      <c r="AS189">
        <f t="shared" si="31"/>
        <v>0</v>
      </c>
      <c r="AT189"/>
      <c r="AU189"/>
      <c r="AV189"/>
      <c r="AW189"/>
      <c r="AX189"/>
      <c r="AY189"/>
      <c r="AZ189"/>
      <c r="BA189"/>
      <c r="BB189"/>
      <c r="BC189"/>
      <c r="BD189"/>
      <c r="BE189"/>
    </row>
    <row r="190" spans="2:57" ht="27" customHeight="1" x14ac:dyDescent="0.2">
      <c r="B190" s="398">
        <f t="shared" si="33"/>
        <v>29</v>
      </c>
      <c r="C190" s="454" t="s">
        <v>57</v>
      </c>
      <c r="D190" s="454" t="s">
        <v>85</v>
      </c>
      <c r="E190" s="446">
        <v>99</v>
      </c>
      <c r="F190" s="421">
        <v>2.6110000000000002</v>
      </c>
      <c r="G190" s="347">
        <v>91.8</v>
      </c>
      <c r="H190" s="347">
        <v>0.17</v>
      </c>
      <c r="I190" s="348">
        <v>98.87</v>
      </c>
      <c r="J190" s="808">
        <v>0.97151860999999995</v>
      </c>
      <c r="K190" s="346">
        <v>0</v>
      </c>
      <c r="L190" s="565">
        <v>0.99051065999999999</v>
      </c>
      <c r="M190" s="226"/>
      <c r="AB190"/>
      <c r="AC190"/>
      <c r="AD190"/>
      <c r="AE190"/>
      <c r="AF190"/>
      <c r="AG190"/>
      <c r="AH190"/>
      <c r="AI190"/>
      <c r="AJ190"/>
      <c r="AK190"/>
      <c r="AL190"/>
      <c r="AM190"/>
      <c r="AN190"/>
      <c r="AO190"/>
      <c r="AP190" s="363"/>
      <c r="AQ190" s="375">
        <f t="shared" si="30"/>
        <v>121</v>
      </c>
      <c r="AR190">
        <f t="shared" si="32"/>
        <v>1331.05</v>
      </c>
      <c r="AS190">
        <f t="shared" si="31"/>
        <v>0</v>
      </c>
      <c r="AT190"/>
      <c r="AU190"/>
      <c r="AV190"/>
      <c r="AW190"/>
      <c r="AX190"/>
      <c r="AY190"/>
      <c r="AZ190"/>
      <c r="BA190"/>
      <c r="BB190"/>
      <c r="BC190"/>
      <c r="BD190"/>
      <c r="BE190"/>
    </row>
    <row r="191" spans="2:57" ht="27" customHeight="1" x14ac:dyDescent="0.2">
      <c r="B191" s="398">
        <f t="shared" si="33"/>
        <v>30</v>
      </c>
      <c r="C191" s="454" t="s">
        <v>58</v>
      </c>
      <c r="D191" s="454" t="s">
        <v>85</v>
      </c>
      <c r="E191" s="446">
        <v>189.7</v>
      </c>
      <c r="F191" s="446">
        <v>7.9000000000000001E-2</v>
      </c>
      <c r="G191" s="347">
        <v>188.25</v>
      </c>
      <c r="H191" s="347">
        <v>3.2000000000000001E-2</v>
      </c>
      <c r="I191" s="348">
        <v>189.4</v>
      </c>
      <c r="J191" s="808">
        <v>7.3440000000000005E-2</v>
      </c>
      <c r="K191" s="346">
        <v>0</v>
      </c>
      <c r="L191" s="565">
        <v>7.4952000000000005E-2</v>
      </c>
      <c r="M191" s="226"/>
      <c r="AB191"/>
      <c r="AC191"/>
      <c r="AD191"/>
      <c r="AE191"/>
      <c r="AF191"/>
      <c r="AG191"/>
      <c r="AH191"/>
      <c r="AI191"/>
      <c r="AJ191"/>
      <c r="AK191"/>
      <c r="AL191"/>
      <c r="AM191"/>
      <c r="AN191"/>
      <c r="AO191"/>
      <c r="AP191" s="363"/>
      <c r="AQ191" s="375">
        <f t="shared" si="30"/>
        <v>122</v>
      </c>
      <c r="AR191">
        <f t="shared" ref="AR191:AR202" si="34">IF(AG7="tad","tad",AG7)</f>
        <v>1330.3</v>
      </c>
      <c r="AS191">
        <f t="shared" si="31"/>
        <v>0</v>
      </c>
      <c r="AT191"/>
      <c r="AU191"/>
      <c r="AV191"/>
      <c r="AW191"/>
      <c r="AX191"/>
      <c r="AY191"/>
      <c r="AZ191"/>
      <c r="BA191"/>
      <c r="BB191"/>
      <c r="BC191"/>
      <c r="BD191"/>
      <c r="BE191"/>
    </row>
    <row r="192" spans="2:57" ht="27" customHeight="1" x14ac:dyDescent="0.2">
      <c r="B192" s="398">
        <f t="shared" si="33"/>
        <v>31</v>
      </c>
      <c r="C192" s="454" t="s">
        <v>59</v>
      </c>
      <c r="D192" s="454" t="s">
        <v>85</v>
      </c>
      <c r="E192" s="446">
        <v>171.19</v>
      </c>
      <c r="F192" s="421">
        <v>9.6879999999999994E-2</v>
      </c>
      <c r="G192" s="347">
        <v>169.34</v>
      </c>
      <c r="H192" s="399">
        <v>5.1999999999999998E-2</v>
      </c>
      <c r="I192" s="348">
        <v>171.11</v>
      </c>
      <c r="J192" s="808">
        <v>9.4941999999999999E-2</v>
      </c>
      <c r="K192" s="346">
        <v>0</v>
      </c>
      <c r="L192" s="565">
        <v>0.100271</v>
      </c>
      <c r="M192" s="226"/>
      <c r="AB192"/>
      <c r="AC192"/>
      <c r="AD192"/>
      <c r="AE192"/>
      <c r="AF192"/>
      <c r="AG192"/>
      <c r="AH192"/>
      <c r="AI192"/>
      <c r="AJ192"/>
      <c r="AK192"/>
      <c r="AL192"/>
      <c r="AM192"/>
      <c r="AN192"/>
      <c r="AO192"/>
      <c r="AP192" s="363"/>
      <c r="AQ192" s="375">
        <f t="shared" si="30"/>
        <v>123</v>
      </c>
      <c r="AR192">
        <f t="shared" si="34"/>
        <v>1329.69</v>
      </c>
      <c r="AS192">
        <f t="shared" si="31"/>
        <v>0</v>
      </c>
      <c r="AT192"/>
      <c r="AU192"/>
      <c r="AV192"/>
      <c r="AW192"/>
      <c r="AX192"/>
      <c r="AY192"/>
      <c r="AZ192"/>
      <c r="BA192"/>
      <c r="BB192"/>
      <c r="BC192"/>
      <c r="BD192"/>
      <c r="BE192"/>
    </row>
    <row r="193" spans="2:57" ht="27" customHeight="1" x14ac:dyDescent="0.2">
      <c r="B193" s="398">
        <f t="shared" si="33"/>
        <v>32</v>
      </c>
      <c r="C193" s="454" t="s">
        <v>60</v>
      </c>
      <c r="D193" s="454" t="s">
        <v>86</v>
      </c>
      <c r="E193" s="446">
        <v>142.6</v>
      </c>
      <c r="F193" s="421">
        <v>9.157</v>
      </c>
      <c r="G193" s="347">
        <v>139.43</v>
      </c>
      <c r="H193" s="347">
        <v>1.7649999999999999</v>
      </c>
      <c r="I193" s="347">
        <v>153.13999999999999</v>
      </c>
      <c r="J193" s="810">
        <v>9.4494338399999993</v>
      </c>
      <c r="K193" s="346">
        <v>0</v>
      </c>
      <c r="L193" s="550">
        <v>9.5662373200000008</v>
      </c>
      <c r="M193" s="226"/>
      <c r="AB193"/>
      <c r="AC193"/>
      <c r="AD193"/>
      <c r="AE193"/>
      <c r="AF193"/>
      <c r="AG193"/>
      <c r="AH193"/>
      <c r="AI193"/>
      <c r="AJ193"/>
      <c r="AK193"/>
      <c r="AL193"/>
      <c r="AM193"/>
      <c r="AN193"/>
      <c r="AO193"/>
      <c r="AP193" s="363"/>
      <c r="AQ193" s="375">
        <f t="shared" si="30"/>
        <v>124</v>
      </c>
      <c r="AR193">
        <f t="shared" si="34"/>
        <v>1328</v>
      </c>
      <c r="AS193">
        <f t="shared" si="31"/>
        <v>0</v>
      </c>
      <c r="AT193"/>
      <c r="AU193"/>
      <c r="AV193"/>
      <c r="AW193"/>
      <c r="AX193"/>
      <c r="AY193"/>
      <c r="AZ193"/>
      <c r="BA193"/>
      <c r="BB193"/>
      <c r="BC193"/>
      <c r="BD193"/>
      <c r="BE193"/>
    </row>
    <row r="194" spans="2:57" ht="27" customHeight="1" x14ac:dyDescent="0.2">
      <c r="B194" s="398">
        <v>33</v>
      </c>
      <c r="C194" s="454" t="s">
        <v>61</v>
      </c>
      <c r="D194" s="454" t="s">
        <v>86</v>
      </c>
      <c r="E194" s="446">
        <v>239.5</v>
      </c>
      <c r="F194" s="421">
        <v>2.6720000000000002</v>
      </c>
      <c r="G194" s="347">
        <v>234.45</v>
      </c>
      <c r="H194" s="399">
        <v>0.44600000000000001</v>
      </c>
      <c r="I194" s="347">
        <v>238.45</v>
      </c>
      <c r="J194" s="810">
        <v>2.1120000000000001</v>
      </c>
      <c r="K194" s="346">
        <v>0</v>
      </c>
      <c r="L194" s="550">
        <v>2.1556000000000002</v>
      </c>
      <c r="M194" s="226"/>
      <c r="AB194"/>
      <c r="AC194"/>
      <c r="AD194"/>
      <c r="AE194"/>
      <c r="AF194"/>
      <c r="AG194"/>
      <c r="AH194"/>
      <c r="AI194"/>
      <c r="AJ194"/>
      <c r="AK194"/>
      <c r="AL194"/>
      <c r="AM194"/>
      <c r="AN194"/>
      <c r="AO194"/>
      <c r="AP194" s="363"/>
      <c r="AQ194" s="375">
        <f t="shared" si="30"/>
        <v>125</v>
      </c>
      <c r="AR194">
        <f t="shared" si="34"/>
        <v>1324.7</v>
      </c>
      <c r="AS194">
        <f t="shared" si="31"/>
        <v>0</v>
      </c>
      <c r="AT194"/>
      <c r="AU194"/>
      <c r="AV194"/>
      <c r="AW194"/>
      <c r="AX194"/>
      <c r="AY194"/>
      <c r="AZ194"/>
      <c r="BA194"/>
      <c r="BB194"/>
      <c r="BC194"/>
      <c r="BD194"/>
      <c r="BE194"/>
    </row>
    <row r="195" spans="2:57" ht="27" customHeight="1" x14ac:dyDescent="0.2">
      <c r="B195" s="398">
        <f t="shared" si="33"/>
        <v>34</v>
      </c>
      <c r="C195" s="454" t="s">
        <v>62</v>
      </c>
      <c r="D195" s="454" t="s">
        <v>87</v>
      </c>
      <c r="E195" s="446">
        <v>120.5</v>
      </c>
      <c r="F195" s="421">
        <v>3.677</v>
      </c>
      <c r="G195" s="347">
        <v>118.55</v>
      </c>
      <c r="H195" s="347">
        <v>0.59499999999999997</v>
      </c>
      <c r="I195" s="347">
        <v>120.75</v>
      </c>
      <c r="J195" s="807">
        <v>4.154369</v>
      </c>
      <c r="K195" s="346">
        <v>0</v>
      </c>
      <c r="L195" s="563">
        <v>4.154369</v>
      </c>
      <c r="M195" s="226"/>
      <c r="AB195"/>
      <c r="AC195"/>
      <c r="AD195"/>
      <c r="AE195"/>
      <c r="AF195"/>
      <c r="AG195"/>
      <c r="AH195"/>
      <c r="AI195"/>
      <c r="AJ195"/>
      <c r="AK195"/>
      <c r="AL195"/>
      <c r="AM195"/>
      <c r="AN195"/>
      <c r="AO195"/>
      <c r="AP195" s="363"/>
      <c r="AQ195" s="375">
        <f t="shared" si="30"/>
        <v>126</v>
      </c>
      <c r="AR195">
        <f t="shared" si="34"/>
        <v>1323.86</v>
      </c>
      <c r="AS195">
        <f t="shared" si="31"/>
        <v>0</v>
      </c>
      <c r="AT195"/>
      <c r="AU195"/>
      <c r="AV195"/>
      <c r="AW195"/>
      <c r="AX195"/>
      <c r="AY195"/>
      <c r="AZ195"/>
      <c r="BA195"/>
      <c r="BB195"/>
      <c r="BC195"/>
      <c r="BD195"/>
      <c r="BE195"/>
    </row>
    <row r="196" spans="2:57" ht="27" customHeight="1" x14ac:dyDescent="0.2">
      <c r="B196" s="398">
        <f t="shared" si="33"/>
        <v>35</v>
      </c>
      <c r="C196" s="454" t="s">
        <v>63</v>
      </c>
      <c r="D196" s="454" t="s">
        <v>88</v>
      </c>
      <c r="E196" s="446">
        <v>110.56</v>
      </c>
      <c r="F196" s="421">
        <v>2.75</v>
      </c>
      <c r="G196" s="347">
        <v>107.16</v>
      </c>
      <c r="H196" s="347">
        <v>0.311</v>
      </c>
      <c r="I196" s="347">
        <v>110.56</v>
      </c>
      <c r="J196" s="807">
        <v>2.75</v>
      </c>
      <c r="K196" s="346">
        <v>0</v>
      </c>
      <c r="L196" s="563">
        <v>2.75</v>
      </c>
      <c r="M196" s="226"/>
      <c r="AB196"/>
      <c r="AC196"/>
      <c r="AD196"/>
      <c r="AE196"/>
      <c r="AF196"/>
      <c r="AG196"/>
      <c r="AH196"/>
      <c r="AI196"/>
      <c r="AJ196"/>
      <c r="AK196"/>
      <c r="AL196"/>
      <c r="AM196"/>
      <c r="AN196"/>
      <c r="AO196"/>
      <c r="AP196" s="363"/>
      <c r="AQ196" s="375">
        <f t="shared" si="30"/>
        <v>127</v>
      </c>
      <c r="AR196">
        <f t="shared" si="34"/>
        <v>1322.17</v>
      </c>
      <c r="AS196">
        <f t="shared" si="31"/>
        <v>0</v>
      </c>
      <c r="AT196"/>
      <c r="AU196"/>
      <c r="AV196"/>
      <c r="AW196"/>
      <c r="AX196"/>
      <c r="AY196"/>
      <c r="AZ196"/>
      <c r="BA196"/>
      <c r="BB196"/>
      <c r="BC196"/>
      <c r="BD196"/>
      <c r="BE196"/>
    </row>
    <row r="197" spans="2:57" ht="27" customHeight="1" x14ac:dyDescent="0.2">
      <c r="B197" s="398">
        <f t="shared" si="33"/>
        <v>36</v>
      </c>
      <c r="C197" s="454" t="s">
        <v>64</v>
      </c>
      <c r="D197" s="454" t="s">
        <v>89</v>
      </c>
      <c r="E197" s="446">
        <v>72</v>
      </c>
      <c r="F197" s="421">
        <v>38.036000000000001</v>
      </c>
      <c r="G197" s="347">
        <v>54.7</v>
      </c>
      <c r="H197" s="399">
        <v>8.798</v>
      </c>
      <c r="I197" s="347">
        <v>69.89</v>
      </c>
      <c r="J197" s="810">
        <v>33.01</v>
      </c>
      <c r="K197" s="346">
        <v>0</v>
      </c>
      <c r="L197" s="550">
        <v>32.942</v>
      </c>
      <c r="M197" s="226"/>
      <c r="AB197"/>
      <c r="AC197"/>
      <c r="AD197"/>
      <c r="AE197"/>
      <c r="AF197"/>
      <c r="AG197"/>
      <c r="AH197"/>
      <c r="AI197"/>
      <c r="AJ197"/>
      <c r="AK197"/>
      <c r="AL197"/>
      <c r="AM197"/>
      <c r="AN197"/>
      <c r="AO197"/>
      <c r="AP197" s="363"/>
      <c r="AQ197" s="375">
        <f t="shared" si="30"/>
        <v>128</v>
      </c>
      <c r="AR197">
        <f t="shared" si="34"/>
        <v>1325.19</v>
      </c>
      <c r="AS197">
        <f t="shared" si="31"/>
        <v>0</v>
      </c>
      <c r="AT197"/>
      <c r="AU197"/>
      <c r="AV197"/>
      <c r="AW197"/>
      <c r="AX197"/>
      <c r="AY197"/>
      <c r="AZ197"/>
      <c r="BA197"/>
      <c r="BB197"/>
      <c r="BC197"/>
      <c r="BD197"/>
      <c r="BE197"/>
    </row>
    <row r="198" spans="2:57" ht="27" customHeight="1" x14ac:dyDescent="0.2">
      <c r="B198" s="398">
        <f t="shared" si="33"/>
        <v>37</v>
      </c>
      <c r="C198" s="454" t="s">
        <v>65</v>
      </c>
      <c r="D198" s="454" t="s">
        <v>89</v>
      </c>
      <c r="E198" s="446">
        <v>185</v>
      </c>
      <c r="F198" s="421">
        <v>388.72199999999998</v>
      </c>
      <c r="G198" s="347">
        <v>167</v>
      </c>
      <c r="H198" s="399">
        <v>217.202</v>
      </c>
      <c r="I198" s="594">
        <v>173.7</v>
      </c>
      <c r="J198" s="806">
        <v>277.911</v>
      </c>
      <c r="K198" s="346">
        <v>0</v>
      </c>
      <c r="L198" s="550">
        <v>276.88299999999998</v>
      </c>
      <c r="M198" s="226"/>
      <c r="AB198"/>
      <c r="AC198"/>
      <c r="AD198"/>
      <c r="AE198"/>
      <c r="AF198"/>
      <c r="AG198"/>
      <c r="AH198"/>
      <c r="AI198"/>
      <c r="AJ198"/>
      <c r="AK198"/>
      <c r="AL198"/>
      <c r="AM198"/>
      <c r="AN198"/>
      <c r="AO198"/>
      <c r="AP198" s="363"/>
      <c r="AQ198" s="375">
        <f t="shared" si="30"/>
        <v>129</v>
      </c>
      <c r="AR198">
        <f t="shared" si="34"/>
        <v>1333.9</v>
      </c>
      <c r="AS198">
        <f t="shared" si="31"/>
        <v>0</v>
      </c>
      <c r="AT198"/>
      <c r="AU198"/>
      <c r="AV198"/>
      <c r="AW198"/>
      <c r="AX198"/>
      <c r="AY198"/>
      <c r="AZ198"/>
      <c r="BA198"/>
      <c r="BB198"/>
      <c r="BC198"/>
      <c r="BD198"/>
      <c r="BE198"/>
    </row>
    <row r="199" spans="2:57" ht="27" customHeight="1" x14ac:dyDescent="0.2">
      <c r="B199" s="398">
        <v>38</v>
      </c>
      <c r="C199" s="454" t="s">
        <v>66</v>
      </c>
      <c r="D199" s="454" t="s">
        <v>90</v>
      </c>
      <c r="E199" s="446">
        <v>231</v>
      </c>
      <c r="F199" s="421">
        <v>30.48</v>
      </c>
      <c r="G199" s="347">
        <v>228.11</v>
      </c>
      <c r="H199" s="399">
        <v>5.93</v>
      </c>
      <c r="I199" s="347">
        <v>230.38</v>
      </c>
      <c r="J199" s="810">
        <v>14.811999999999999</v>
      </c>
      <c r="K199" s="346">
        <v>0</v>
      </c>
      <c r="L199" s="764">
        <v>5.2089999999999996</v>
      </c>
      <c r="AB199"/>
      <c r="AC199"/>
      <c r="AD199"/>
      <c r="AE199"/>
      <c r="AF199"/>
      <c r="AG199"/>
      <c r="AH199"/>
      <c r="AI199"/>
      <c r="AJ199"/>
      <c r="AK199"/>
      <c r="AL199"/>
      <c r="AM199"/>
      <c r="AN199"/>
      <c r="AO199"/>
      <c r="AP199" s="363"/>
      <c r="AQ199" s="375">
        <f t="shared" ref="AQ199:AQ268" si="35">AQ198+1</f>
        <v>130</v>
      </c>
      <c r="AR199">
        <f t="shared" si="34"/>
        <v>1329.37</v>
      </c>
      <c r="AS199">
        <f t="shared" ref="AS199:AS268" si="36">IF(COUNT(AQ199:AR199)=2,0,-AP$49/500)</f>
        <v>0</v>
      </c>
      <c r="AT199"/>
      <c r="AU199"/>
      <c r="AV199"/>
      <c r="AW199"/>
      <c r="AX199"/>
      <c r="AY199"/>
      <c r="AZ199"/>
      <c r="BA199"/>
      <c r="BB199"/>
      <c r="BC199"/>
      <c r="BD199"/>
      <c r="BE199"/>
    </row>
    <row r="200" spans="2:57" ht="27" customHeight="1" x14ac:dyDescent="0.2">
      <c r="B200" s="395">
        <v>39</v>
      </c>
      <c r="C200" s="396" t="s">
        <v>230</v>
      </c>
      <c r="D200" s="396" t="s">
        <v>78</v>
      </c>
      <c r="E200" s="422">
        <v>149.30000000000001</v>
      </c>
      <c r="F200" s="449">
        <v>17.670000000000002</v>
      </c>
      <c r="G200" s="422">
        <v>149.30000000000001</v>
      </c>
      <c r="H200" s="449">
        <v>17.670000000000002</v>
      </c>
      <c r="I200" s="422">
        <v>149.50200000000001</v>
      </c>
      <c r="J200" s="814">
        <v>11.13</v>
      </c>
      <c r="K200" s="346">
        <v>0</v>
      </c>
      <c r="L200" s="570">
        <v>10.87</v>
      </c>
      <c r="M200" s="226"/>
      <c r="AB200"/>
      <c r="AC200"/>
      <c r="AD200"/>
      <c r="AE200"/>
      <c r="AF200"/>
      <c r="AG200"/>
      <c r="AH200"/>
      <c r="AI200"/>
      <c r="AJ200"/>
      <c r="AK200"/>
      <c r="AL200"/>
      <c r="AM200"/>
      <c r="AN200"/>
      <c r="AO200"/>
      <c r="AP200" s="363"/>
      <c r="AQ200" s="375">
        <f t="shared" si="35"/>
        <v>131</v>
      </c>
      <c r="AR200">
        <f t="shared" si="34"/>
        <v>1338.35</v>
      </c>
      <c r="AS200">
        <f t="shared" si="36"/>
        <v>0</v>
      </c>
      <c r="AT200"/>
      <c r="AU200"/>
      <c r="AV200"/>
      <c r="AW200"/>
      <c r="AX200"/>
      <c r="AY200"/>
      <c r="AZ200"/>
      <c r="BA200"/>
      <c r="BB200"/>
      <c r="BC200"/>
      <c r="BD200"/>
      <c r="BE200"/>
    </row>
    <row r="201" spans="2:57" ht="27" customHeight="1" x14ac:dyDescent="0.25">
      <c r="B201" s="398">
        <f>+B200+1</f>
        <v>40</v>
      </c>
      <c r="C201" s="454" t="s">
        <v>231</v>
      </c>
      <c r="D201" s="454" t="s">
        <v>82</v>
      </c>
      <c r="E201" s="446">
        <v>39</v>
      </c>
      <c r="F201" s="421">
        <v>0.47399999999999998</v>
      </c>
      <c r="G201" s="446">
        <v>39</v>
      </c>
      <c r="H201" s="421">
        <v>0.47</v>
      </c>
      <c r="I201" s="623">
        <v>39</v>
      </c>
      <c r="J201" s="810">
        <v>0.47</v>
      </c>
      <c r="K201" s="346">
        <v>0</v>
      </c>
      <c r="L201" s="570">
        <v>0.47499999999999998</v>
      </c>
      <c r="M201" s="226"/>
      <c r="AB201"/>
      <c r="AC201"/>
      <c r="AD201"/>
      <c r="AE201"/>
      <c r="AF201"/>
      <c r="AG201"/>
      <c r="AH201"/>
      <c r="AI201"/>
      <c r="AJ201"/>
      <c r="AK201"/>
      <c r="AL201"/>
      <c r="AM201"/>
      <c r="AN201"/>
      <c r="AO201"/>
      <c r="AP201" s="363"/>
      <c r="AQ201" s="375">
        <f t="shared" si="35"/>
        <v>132</v>
      </c>
      <c r="AR201">
        <f t="shared" si="34"/>
        <v>1346.29</v>
      </c>
      <c r="AS201">
        <f t="shared" si="36"/>
        <v>0</v>
      </c>
      <c r="AT201"/>
      <c r="AU201"/>
      <c r="AV201"/>
      <c r="AW201"/>
      <c r="AX201"/>
      <c r="AY201"/>
      <c r="AZ201"/>
      <c r="BA201"/>
      <c r="BB201"/>
      <c r="BC201"/>
      <c r="BD201"/>
      <c r="BE201"/>
    </row>
    <row r="202" spans="2:57" ht="27" customHeight="1" thickBot="1" x14ac:dyDescent="0.3">
      <c r="B202" s="400">
        <v>41</v>
      </c>
      <c r="C202" s="401" t="s">
        <v>232</v>
      </c>
      <c r="D202" s="401" t="s">
        <v>82</v>
      </c>
      <c r="E202" s="460">
        <v>70</v>
      </c>
      <c r="F202" s="423">
        <v>0.81699999999999995</v>
      </c>
      <c r="G202" s="460">
        <v>70</v>
      </c>
      <c r="H202" s="423">
        <v>0.82</v>
      </c>
      <c r="I202" s="652">
        <v>70</v>
      </c>
      <c r="J202" s="810">
        <v>0.74399999999999999</v>
      </c>
      <c r="K202" s="346">
        <v>0</v>
      </c>
      <c r="L202" s="570">
        <v>0.78300000000000003</v>
      </c>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x14ac:dyDescent="0.25">
      <c r="B203" s="393"/>
      <c r="C203" s="394" t="s">
        <v>67</v>
      </c>
      <c r="D203" s="394"/>
      <c r="E203" s="426"/>
      <c r="F203" s="425">
        <f>SUM(F162:F202)</f>
        <v>1813.882478</v>
      </c>
      <c r="G203" s="426"/>
      <c r="H203" s="463">
        <f>SUM(H165:H202)</f>
        <v>707.09900000000005</v>
      </c>
      <c r="I203" s="461"/>
      <c r="J203" s="506">
        <f>SUM(J162:J202)</f>
        <v>1333.8977564775876</v>
      </c>
      <c r="K203" s="374">
        <f>SUM(K162:K202)</f>
        <v>0</v>
      </c>
      <c r="L203" s="766"/>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x14ac:dyDescent="0.25">
      <c r="B204" s="403" t="s">
        <v>68</v>
      </c>
      <c r="C204" s="515" t="s">
        <v>69</v>
      </c>
      <c r="D204" s="515"/>
      <c r="E204" s="431"/>
      <c r="F204" s="428"/>
      <c r="G204" s="429"/>
      <c r="H204" s="464">
        <v>1</v>
      </c>
      <c r="I204" s="462"/>
      <c r="J204" s="503">
        <f>IFERROR(+J203/H203,0)</f>
        <v>1.886437056872641</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x14ac:dyDescent="0.25">
      <c r="B205" s="406"/>
      <c r="C205" s="407" t="s">
        <v>234</v>
      </c>
      <c r="D205" s="408"/>
      <c r="E205" s="505">
        <v>1736.79</v>
      </c>
      <c r="F205" s="432">
        <v>1</v>
      </c>
      <c r="G205" s="433" t="s">
        <v>68</v>
      </c>
      <c r="H205" s="465">
        <f>+H203/F203*100%</f>
        <v>0.38982624760764684</v>
      </c>
      <c r="I205" s="462"/>
      <c r="J205" s="504">
        <f>+J203/F203</f>
        <v>0.73538267922867473</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x14ac:dyDescent="0.25">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x14ac:dyDescent="0.25">
      <c r="B207" s="390"/>
      <c r="C207" s="350"/>
      <c r="D207" s="350"/>
      <c r="E207" s="350"/>
      <c r="F207" s="391">
        <v>7</v>
      </c>
      <c r="G207" s="392" t="s">
        <v>6</v>
      </c>
      <c r="H207" s="581">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x14ac:dyDescent="0.2">
      <c r="B208" s="512" t="s">
        <v>18</v>
      </c>
      <c r="C208" s="515" t="s">
        <v>19</v>
      </c>
      <c r="D208" s="515" t="s">
        <v>75</v>
      </c>
      <c r="E208" s="827" t="s">
        <v>20</v>
      </c>
      <c r="F208" s="828"/>
      <c r="G208" s="827" t="s">
        <v>96</v>
      </c>
      <c r="H208" s="828"/>
      <c r="I208" s="827" t="s">
        <v>22</v>
      </c>
      <c r="J208" s="828"/>
      <c r="K208" s="509"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x14ac:dyDescent="0.2">
      <c r="B209" s="513"/>
      <c r="C209" s="516"/>
      <c r="D209" s="516"/>
      <c r="E209" s="352" t="s">
        <v>24</v>
      </c>
      <c r="F209" s="352" t="s">
        <v>25</v>
      </c>
      <c r="G209" s="351" t="s">
        <v>24</v>
      </c>
      <c r="H209" s="352" t="s">
        <v>25</v>
      </c>
      <c r="I209" s="351" t="s">
        <v>24</v>
      </c>
      <c r="J209" s="352" t="s">
        <v>25</v>
      </c>
      <c r="K209" s="510"/>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x14ac:dyDescent="0.25">
      <c r="B210" s="514"/>
      <c r="C210" s="517"/>
      <c r="D210" s="517"/>
      <c r="E210" s="354" t="s">
        <v>26</v>
      </c>
      <c r="F210" s="354" t="s">
        <v>157</v>
      </c>
      <c r="G210" s="353" t="s">
        <v>26</v>
      </c>
      <c r="H210" s="354" t="s">
        <v>157</v>
      </c>
      <c r="I210" s="353" t="s">
        <v>26</v>
      </c>
      <c r="J210" s="354" t="s">
        <v>157</v>
      </c>
      <c r="K210" s="511"/>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x14ac:dyDescent="0.25">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x14ac:dyDescent="0.2">
      <c r="B212" s="395">
        <v>1</v>
      </c>
      <c r="C212" s="396" t="s">
        <v>28</v>
      </c>
      <c r="D212" s="396" t="s">
        <v>76</v>
      </c>
      <c r="E212" s="446">
        <v>55.77</v>
      </c>
      <c r="F212" s="421">
        <v>31.144597999999998</v>
      </c>
      <c r="G212" s="346">
        <v>53.24</v>
      </c>
      <c r="H212" s="346">
        <v>18.036000000000001</v>
      </c>
      <c r="I212" s="346">
        <v>55.68</v>
      </c>
      <c r="J212" s="799">
        <v>30.609919999999999</v>
      </c>
      <c r="K212" s="346"/>
      <c r="L212" s="767"/>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x14ac:dyDescent="0.2">
      <c r="B213" s="398">
        <v>2</v>
      </c>
      <c r="C213" s="454" t="s">
        <v>29</v>
      </c>
      <c r="D213" s="454" t="s">
        <v>76</v>
      </c>
      <c r="E213" s="422">
        <v>339.5</v>
      </c>
      <c r="F213" s="449">
        <v>7.77</v>
      </c>
      <c r="G213" s="347">
        <v>338.77</v>
      </c>
      <c r="H213" s="399">
        <v>7.157</v>
      </c>
      <c r="I213" s="347">
        <v>338.88</v>
      </c>
      <c r="J213" s="800">
        <v>7.25</v>
      </c>
      <c r="K213" s="346"/>
      <c r="L213" s="768"/>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x14ac:dyDescent="0.2">
      <c r="B214" s="398">
        <f t="shared" ref="B214:B248" si="38">+B213+1</f>
        <v>3</v>
      </c>
      <c r="C214" s="454" t="s">
        <v>30</v>
      </c>
      <c r="D214" s="454" t="s">
        <v>77</v>
      </c>
      <c r="E214" s="446">
        <v>77.5</v>
      </c>
      <c r="F214" s="421">
        <v>49.02</v>
      </c>
      <c r="G214" s="347">
        <v>73.650000000000006</v>
      </c>
      <c r="H214" s="399">
        <v>27.367000000000001</v>
      </c>
      <c r="I214" s="347">
        <v>77.209999999999994</v>
      </c>
      <c r="J214" s="800">
        <v>47.145966999999999</v>
      </c>
      <c r="K214" s="346"/>
      <c r="L214" s="768"/>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x14ac:dyDescent="0.3">
      <c r="B215" s="398">
        <f t="shared" si="38"/>
        <v>4</v>
      </c>
      <c r="C215" s="454" t="s">
        <v>31</v>
      </c>
      <c r="D215" s="454" t="s">
        <v>78</v>
      </c>
      <c r="E215" s="446">
        <v>463.3</v>
      </c>
      <c r="F215" s="421">
        <v>49.9</v>
      </c>
      <c r="G215" s="445">
        <v>462.22</v>
      </c>
      <c r="H215" s="445">
        <v>27.992000000000001</v>
      </c>
      <c r="I215" s="421">
        <v>462.95</v>
      </c>
      <c r="J215" s="800">
        <v>47.093000000000004</v>
      </c>
      <c r="K215" s="346"/>
      <c r="L215" s="769"/>
      <c r="M215" s="537"/>
      <c r="N215" s="53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x14ac:dyDescent="0.25">
      <c r="B216" s="398">
        <f t="shared" si="38"/>
        <v>5</v>
      </c>
      <c r="C216" s="454" t="s">
        <v>32</v>
      </c>
      <c r="D216" s="454" t="s">
        <v>79</v>
      </c>
      <c r="E216" s="446">
        <v>207</v>
      </c>
      <c r="F216" s="421">
        <v>9.5030000000000001</v>
      </c>
      <c r="G216" s="347">
        <v>195.32</v>
      </c>
      <c r="H216" s="348">
        <v>1.218</v>
      </c>
      <c r="I216" s="652">
        <v>207.01</v>
      </c>
      <c r="J216" s="800">
        <v>9.5169999999999995</v>
      </c>
      <c r="K216" s="346"/>
      <c r="L216" s="770"/>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x14ac:dyDescent="0.25">
      <c r="B217" s="398">
        <f t="shared" si="38"/>
        <v>6</v>
      </c>
      <c r="C217" s="454" t="s">
        <v>33</v>
      </c>
      <c r="D217" s="454" t="s">
        <v>79</v>
      </c>
      <c r="E217" s="446">
        <v>320</v>
      </c>
      <c r="F217" s="421">
        <v>5.1509999999999998</v>
      </c>
      <c r="G217" s="347">
        <v>306.97000000000003</v>
      </c>
      <c r="H217" s="348">
        <v>0.65700000000000003</v>
      </c>
      <c r="I217" s="652">
        <v>319.89999999999998</v>
      </c>
      <c r="J217" s="800">
        <v>5.109</v>
      </c>
      <c r="K217" s="346"/>
      <c r="L217" s="770"/>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x14ac:dyDescent="0.25">
      <c r="B218" s="398">
        <f t="shared" si="38"/>
        <v>7</v>
      </c>
      <c r="C218" s="454" t="s">
        <v>34</v>
      </c>
      <c r="D218" s="454" t="s">
        <v>80</v>
      </c>
      <c r="E218" s="446">
        <v>90</v>
      </c>
      <c r="F218" s="421">
        <v>689.09100000000001</v>
      </c>
      <c r="G218" s="347">
        <v>79.7</v>
      </c>
      <c r="H218" s="347">
        <v>281.37</v>
      </c>
      <c r="I218" s="652">
        <v>84.87</v>
      </c>
      <c r="J218" s="800">
        <v>455.56083699561879</v>
      </c>
      <c r="K218" s="346"/>
      <c r="L218" s="770"/>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x14ac:dyDescent="0.2">
      <c r="B219" s="398">
        <f t="shared" si="38"/>
        <v>8</v>
      </c>
      <c r="C219" s="454" t="s">
        <v>35</v>
      </c>
      <c r="D219" s="454" t="s">
        <v>81</v>
      </c>
      <c r="E219" s="446">
        <v>120.5</v>
      </c>
      <c r="F219" s="421">
        <v>2.0920000000000001</v>
      </c>
      <c r="G219" s="347">
        <v>114.9</v>
      </c>
      <c r="H219" s="399">
        <v>0.22800000000000001</v>
      </c>
      <c r="I219" s="447">
        <v>119.55</v>
      </c>
      <c r="J219" s="800">
        <v>1.39</v>
      </c>
      <c r="K219" s="346"/>
      <c r="L219" s="771"/>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x14ac:dyDescent="0.25">
      <c r="B220" s="398">
        <f t="shared" si="38"/>
        <v>9</v>
      </c>
      <c r="C220" s="454" t="s">
        <v>36</v>
      </c>
      <c r="D220" s="454" t="s">
        <v>81</v>
      </c>
      <c r="E220" s="446">
        <v>120.8</v>
      </c>
      <c r="F220" s="421">
        <v>2.3530000000000002</v>
      </c>
      <c r="G220" s="347">
        <v>113.61</v>
      </c>
      <c r="H220" s="399">
        <v>0.35699999999999998</v>
      </c>
      <c r="I220" s="652">
        <v>117.96</v>
      </c>
      <c r="J220" s="800">
        <v>0.69699999999999995</v>
      </c>
      <c r="K220" s="346"/>
      <c r="L220" s="770"/>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x14ac:dyDescent="0.25">
      <c r="B221" s="398">
        <f t="shared" si="38"/>
        <v>10</v>
      </c>
      <c r="C221" s="454" t="s">
        <v>37</v>
      </c>
      <c r="D221" s="454" t="s">
        <v>82</v>
      </c>
      <c r="E221" s="446">
        <v>46.5</v>
      </c>
      <c r="F221" s="446">
        <v>4.5999999999999996</v>
      </c>
      <c r="G221" s="347">
        <v>43.1</v>
      </c>
      <c r="H221" s="347">
        <v>2.1640000000000001</v>
      </c>
      <c r="I221" s="652">
        <v>40.909999999999997</v>
      </c>
      <c r="J221" s="800">
        <v>0.80200000000000005</v>
      </c>
      <c r="K221" s="346"/>
      <c r="L221" s="770"/>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x14ac:dyDescent="0.25">
      <c r="B222" s="398">
        <f t="shared" si="38"/>
        <v>11</v>
      </c>
      <c r="C222" s="454" t="s">
        <v>39</v>
      </c>
      <c r="D222" s="454" t="s">
        <v>82</v>
      </c>
      <c r="E222" s="446">
        <v>51.5</v>
      </c>
      <c r="F222" s="421">
        <v>2.4159999999999999</v>
      </c>
      <c r="G222" s="347">
        <v>46.86</v>
      </c>
      <c r="H222" s="347">
        <v>0.90600000000000003</v>
      </c>
      <c r="I222" s="653">
        <v>51.46</v>
      </c>
      <c r="J222" s="800">
        <v>2.5539999999999998</v>
      </c>
      <c r="K222" s="346"/>
      <c r="L222" s="770"/>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x14ac:dyDescent="0.25">
      <c r="B223" s="398">
        <f t="shared" si="38"/>
        <v>12</v>
      </c>
      <c r="C223" s="454" t="s">
        <v>40</v>
      </c>
      <c r="D223" s="454" t="s">
        <v>80</v>
      </c>
      <c r="E223" s="446">
        <v>81</v>
      </c>
      <c r="F223" s="421">
        <v>1.093</v>
      </c>
      <c r="G223" s="347">
        <v>73.94</v>
      </c>
      <c r="H223" s="399">
        <v>0.18</v>
      </c>
      <c r="I223" s="652">
        <v>75.02</v>
      </c>
      <c r="J223" s="800">
        <v>0.315</v>
      </c>
      <c r="K223" s="346"/>
      <c r="L223" s="770"/>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x14ac:dyDescent="0.25">
      <c r="B224" s="398">
        <f t="shared" si="38"/>
        <v>13</v>
      </c>
      <c r="C224" s="454" t="s">
        <v>41</v>
      </c>
      <c r="D224" s="454" t="s">
        <v>80</v>
      </c>
      <c r="E224" s="446">
        <v>82.8</v>
      </c>
      <c r="F224" s="421">
        <v>0.42899999999999999</v>
      </c>
      <c r="G224" s="347">
        <v>80.02</v>
      </c>
      <c r="H224" s="399">
        <v>8.4000000000000005E-2</v>
      </c>
      <c r="I224" s="652">
        <v>78</v>
      </c>
      <c r="J224" s="800">
        <v>0</v>
      </c>
      <c r="K224" s="346"/>
      <c r="L224" s="770"/>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x14ac:dyDescent="0.25">
      <c r="B225" s="398">
        <f t="shared" si="38"/>
        <v>14</v>
      </c>
      <c r="C225" s="454" t="s">
        <v>42</v>
      </c>
      <c r="D225" s="454" t="s">
        <v>80</v>
      </c>
      <c r="E225" s="446">
        <v>69.95</v>
      </c>
      <c r="F225" s="421">
        <v>0.25</v>
      </c>
      <c r="G225" s="347">
        <v>67.95</v>
      </c>
      <c r="H225" s="347">
        <v>4.9000000000000002E-2</v>
      </c>
      <c r="I225" s="652">
        <v>62.84</v>
      </c>
      <c r="J225" s="800">
        <v>0.129</v>
      </c>
      <c r="K225" s="346"/>
      <c r="L225" s="770"/>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x14ac:dyDescent="0.25">
      <c r="B226" s="398">
        <f t="shared" si="38"/>
        <v>15</v>
      </c>
      <c r="C226" s="454" t="s">
        <v>43</v>
      </c>
      <c r="D226" s="454" t="s">
        <v>80</v>
      </c>
      <c r="E226" s="446">
        <v>48.2</v>
      </c>
      <c r="F226" s="421">
        <v>0.38500000000000001</v>
      </c>
      <c r="G226" s="347">
        <v>44.16</v>
      </c>
      <c r="H226" s="399">
        <v>8.9999999999999993E-3</v>
      </c>
      <c r="I226" s="652">
        <v>46.92</v>
      </c>
      <c r="J226" s="800">
        <v>0.39400000000000002</v>
      </c>
      <c r="K226" s="346"/>
      <c r="L226" s="770"/>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x14ac:dyDescent="0.2">
      <c r="B227" s="398">
        <f t="shared" si="38"/>
        <v>16</v>
      </c>
      <c r="C227" s="454" t="s">
        <v>83</v>
      </c>
      <c r="D227" s="454" t="s">
        <v>44</v>
      </c>
      <c r="E227" s="446">
        <v>136</v>
      </c>
      <c r="F227" s="421">
        <v>440</v>
      </c>
      <c r="G227" s="347">
        <v>127.3</v>
      </c>
      <c r="H227" s="347">
        <v>64.974000000000004</v>
      </c>
      <c r="I227" s="347">
        <v>135.84</v>
      </c>
      <c r="J227" s="807">
        <v>357.49740625700002</v>
      </c>
      <c r="K227" s="346"/>
      <c r="L227" s="772"/>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x14ac:dyDescent="0.2">
      <c r="B228" s="398">
        <f t="shared" si="38"/>
        <v>17</v>
      </c>
      <c r="C228" s="454" t="s">
        <v>45</v>
      </c>
      <c r="D228" s="454" t="s">
        <v>44</v>
      </c>
      <c r="E228" s="446">
        <v>113.5</v>
      </c>
      <c r="F228" s="421">
        <v>3.7519999999999998</v>
      </c>
      <c r="G228" s="347">
        <v>104.42</v>
      </c>
      <c r="H228" s="347">
        <v>0.54500000000000004</v>
      </c>
      <c r="I228" s="348">
        <v>112.29</v>
      </c>
      <c r="J228" s="807">
        <v>0.40432765999999998</v>
      </c>
      <c r="K228" s="346"/>
      <c r="L228" s="772"/>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x14ac:dyDescent="0.2">
      <c r="B229" s="398">
        <f t="shared" si="38"/>
        <v>18</v>
      </c>
      <c r="C229" s="454" t="s">
        <v>46</v>
      </c>
      <c r="D229" s="454" t="s">
        <v>44</v>
      </c>
      <c r="E229" s="446">
        <v>225.4</v>
      </c>
      <c r="F229" s="446">
        <v>1.2</v>
      </c>
      <c r="G229" s="347">
        <v>223.12</v>
      </c>
      <c r="H229" s="347">
        <v>7.0999999999999994E-2</v>
      </c>
      <c r="I229" s="347">
        <v>202.3</v>
      </c>
      <c r="J229" s="807">
        <v>0.18823000000000001</v>
      </c>
      <c r="K229" s="346"/>
      <c r="L229" s="772"/>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x14ac:dyDescent="0.2">
      <c r="B230" s="398">
        <f t="shared" si="38"/>
        <v>19</v>
      </c>
      <c r="C230" s="454" t="s">
        <v>47</v>
      </c>
      <c r="D230" s="454" t="s">
        <v>44</v>
      </c>
      <c r="E230" s="446">
        <v>224</v>
      </c>
      <c r="F230" s="421">
        <v>0.6</v>
      </c>
      <c r="G230" s="347">
        <v>215.98</v>
      </c>
      <c r="H230" s="347">
        <v>0.105</v>
      </c>
      <c r="I230" s="348">
        <v>223.4</v>
      </c>
      <c r="J230" s="808">
        <v>0.54</v>
      </c>
      <c r="K230" s="346"/>
      <c r="L230" s="773"/>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x14ac:dyDescent="0.2">
      <c r="B231" s="398">
        <f t="shared" si="38"/>
        <v>20</v>
      </c>
      <c r="C231" s="454" t="s">
        <v>48</v>
      </c>
      <c r="D231" s="454" t="s">
        <v>44</v>
      </c>
      <c r="E231" s="446">
        <v>196</v>
      </c>
      <c r="F231" s="421">
        <v>1.5820000000000001</v>
      </c>
      <c r="G231" s="347">
        <v>189.04</v>
      </c>
      <c r="H231" s="347">
        <v>0.41899999999999998</v>
      </c>
      <c r="I231" s="348">
        <v>194.54</v>
      </c>
      <c r="J231" s="807">
        <v>0.28967080000000001</v>
      </c>
      <c r="K231" s="346"/>
      <c r="L231" s="772"/>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x14ac:dyDescent="0.2">
      <c r="B232" s="398">
        <f t="shared" si="38"/>
        <v>21</v>
      </c>
      <c r="C232" s="454" t="s">
        <v>49</v>
      </c>
      <c r="D232" s="454" t="s">
        <v>44</v>
      </c>
      <c r="E232" s="446">
        <v>174</v>
      </c>
      <c r="F232" s="421">
        <v>0.47899999999999998</v>
      </c>
      <c r="G232" s="347">
        <v>172.38</v>
      </c>
      <c r="H232" s="347">
        <v>7.3999999999999996E-2</v>
      </c>
      <c r="I232" s="348">
        <v>170.32</v>
      </c>
      <c r="J232" s="807">
        <v>0.14642311999999999</v>
      </c>
      <c r="K232" s="346"/>
      <c r="L232" s="772"/>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x14ac:dyDescent="0.2">
      <c r="B233" s="395">
        <f t="shared" si="38"/>
        <v>22</v>
      </c>
      <c r="C233" s="396" t="s">
        <v>50</v>
      </c>
      <c r="D233" s="396" t="s">
        <v>44</v>
      </c>
      <c r="E233" s="422">
        <v>229.1</v>
      </c>
      <c r="F233" s="449">
        <v>0.79200000000000004</v>
      </c>
      <c r="G233" s="346">
        <v>222.84</v>
      </c>
      <c r="H233" s="346">
        <v>0.28000000000000003</v>
      </c>
      <c r="I233" s="492">
        <v>225.92</v>
      </c>
      <c r="J233" s="809">
        <v>0.52111200000000002</v>
      </c>
      <c r="K233" s="346"/>
      <c r="L233" s="773"/>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x14ac:dyDescent="0.2">
      <c r="B234" s="398">
        <f t="shared" si="38"/>
        <v>23</v>
      </c>
      <c r="C234" s="454" t="s">
        <v>51</v>
      </c>
      <c r="D234" s="454" t="s">
        <v>44</v>
      </c>
      <c r="E234" s="446">
        <v>249</v>
      </c>
      <c r="F234" s="421">
        <v>2.1240000000000001</v>
      </c>
      <c r="G234" s="347">
        <v>239.52</v>
      </c>
      <c r="H234" s="347">
        <v>0.187</v>
      </c>
      <c r="I234" s="348">
        <v>243.16</v>
      </c>
      <c r="J234" s="808">
        <v>0.643154</v>
      </c>
      <c r="K234" s="346"/>
      <c r="L234" s="773"/>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x14ac:dyDescent="0.2">
      <c r="B235" s="398">
        <f t="shared" si="38"/>
        <v>24</v>
      </c>
      <c r="C235" s="454" t="s">
        <v>52</v>
      </c>
      <c r="D235" s="454" t="s">
        <v>84</v>
      </c>
      <c r="E235" s="446">
        <v>164.75</v>
      </c>
      <c r="F235" s="446">
        <v>5</v>
      </c>
      <c r="G235" s="347">
        <v>154.43</v>
      </c>
      <c r="H235" s="347">
        <v>0.503</v>
      </c>
      <c r="I235" s="347">
        <v>149.51</v>
      </c>
      <c r="J235" s="808">
        <v>3.1895257099999998</v>
      </c>
      <c r="K235" s="346"/>
      <c r="L235" s="773"/>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x14ac:dyDescent="0.2">
      <c r="B236" s="398">
        <f t="shared" si="38"/>
        <v>25</v>
      </c>
      <c r="C236" s="454" t="s">
        <v>53</v>
      </c>
      <c r="D236" s="454" t="s">
        <v>84</v>
      </c>
      <c r="E236" s="446">
        <v>179.1</v>
      </c>
      <c r="F236" s="421">
        <v>4.2</v>
      </c>
      <c r="G236" s="348">
        <v>166.32</v>
      </c>
      <c r="H236" s="348">
        <v>0.39800000000000002</v>
      </c>
      <c r="I236" s="347">
        <v>231.29</v>
      </c>
      <c r="J236" s="807">
        <v>2.6477127199999999</v>
      </c>
      <c r="K236" s="346"/>
      <c r="L236" s="772"/>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x14ac:dyDescent="0.2">
      <c r="B237" s="398">
        <f t="shared" si="38"/>
        <v>26</v>
      </c>
      <c r="C237" s="454" t="s">
        <v>54</v>
      </c>
      <c r="D237" s="454" t="s">
        <v>85</v>
      </c>
      <c r="E237" s="446">
        <v>325.56</v>
      </c>
      <c r="F237" s="421">
        <v>0.70099999999999996</v>
      </c>
      <c r="G237" s="348">
        <v>315.85000000000002</v>
      </c>
      <c r="H237" s="348">
        <v>0.114</v>
      </c>
      <c r="I237" s="348">
        <v>324.98</v>
      </c>
      <c r="J237" s="808">
        <v>0.64767129999999995</v>
      </c>
      <c r="K237" s="346"/>
      <c r="L237" s="773"/>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x14ac:dyDescent="0.2">
      <c r="B238" s="398">
        <f t="shared" si="38"/>
        <v>27</v>
      </c>
      <c r="C238" s="454" t="s">
        <v>55</v>
      </c>
      <c r="D238" s="454" t="s">
        <v>85</v>
      </c>
      <c r="E238" s="446">
        <v>129.19999999999999</v>
      </c>
      <c r="F238" s="421">
        <v>0.5</v>
      </c>
      <c r="G238" s="347">
        <v>123.6</v>
      </c>
      <c r="H238" s="347">
        <v>2.9000000000000001E-2</v>
      </c>
      <c r="I238" s="348">
        <v>129.19999999999999</v>
      </c>
      <c r="J238" s="807">
        <v>0.5</v>
      </c>
      <c r="K238" s="346"/>
      <c r="L238" s="772"/>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x14ac:dyDescent="0.2">
      <c r="B239" s="398">
        <f t="shared" si="38"/>
        <v>28</v>
      </c>
      <c r="C239" s="454" t="s">
        <v>56</v>
      </c>
      <c r="D239" s="454" t="s">
        <v>85</v>
      </c>
      <c r="E239" s="446">
        <v>282.77999999999997</v>
      </c>
      <c r="F239" s="421">
        <v>0.51300000000000001</v>
      </c>
      <c r="G239" s="347">
        <v>277.87</v>
      </c>
      <c r="H239" s="347">
        <v>7.3999999999999996E-2</v>
      </c>
      <c r="I239" s="347">
        <v>282.77999999999997</v>
      </c>
      <c r="J239" s="807">
        <v>0.57354000000000005</v>
      </c>
      <c r="K239" s="346"/>
      <c r="L239" s="772"/>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x14ac:dyDescent="0.2">
      <c r="B240" s="398">
        <f t="shared" si="38"/>
        <v>29</v>
      </c>
      <c r="C240" s="454" t="s">
        <v>57</v>
      </c>
      <c r="D240" s="454" t="s">
        <v>85</v>
      </c>
      <c r="E240" s="446">
        <v>99</v>
      </c>
      <c r="F240" s="421">
        <v>2.6110000000000002</v>
      </c>
      <c r="G240" s="347">
        <v>91.8</v>
      </c>
      <c r="H240" s="347">
        <v>0.17</v>
      </c>
      <c r="I240" s="348">
        <v>98.87</v>
      </c>
      <c r="J240" s="808">
        <v>0.97151860999999995</v>
      </c>
      <c r="K240" s="346"/>
      <c r="L240" s="773"/>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x14ac:dyDescent="0.2">
      <c r="B241" s="398">
        <f t="shared" si="38"/>
        <v>30</v>
      </c>
      <c r="C241" s="454" t="s">
        <v>58</v>
      </c>
      <c r="D241" s="454" t="s">
        <v>85</v>
      </c>
      <c r="E241" s="446">
        <v>189.7</v>
      </c>
      <c r="F241" s="446">
        <v>7.9000000000000001E-2</v>
      </c>
      <c r="G241" s="347">
        <v>188.25</v>
      </c>
      <c r="H241" s="347">
        <v>3.2000000000000001E-2</v>
      </c>
      <c r="I241" s="348">
        <v>189.41</v>
      </c>
      <c r="J241" s="808">
        <v>7.3655999999999999E-2</v>
      </c>
      <c r="K241" s="346"/>
      <c r="L241" s="773"/>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x14ac:dyDescent="0.2">
      <c r="B242" s="398">
        <f t="shared" si="38"/>
        <v>31</v>
      </c>
      <c r="C242" s="454" t="s">
        <v>59</v>
      </c>
      <c r="D242" s="454" t="s">
        <v>85</v>
      </c>
      <c r="E242" s="446">
        <v>171.19</v>
      </c>
      <c r="F242" s="421">
        <v>9.6879999999999994E-2</v>
      </c>
      <c r="G242" s="347">
        <v>169.34</v>
      </c>
      <c r="H242" s="399">
        <v>5.1999999999999998E-2</v>
      </c>
      <c r="I242" s="348">
        <v>171.14</v>
      </c>
      <c r="J242" s="808">
        <v>9.5669000000000004E-2</v>
      </c>
      <c r="K242" s="346"/>
      <c r="L242" s="773"/>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x14ac:dyDescent="0.2">
      <c r="B243" s="398">
        <f t="shared" si="38"/>
        <v>32</v>
      </c>
      <c r="C243" s="454" t="s">
        <v>60</v>
      </c>
      <c r="D243" s="454" t="s">
        <v>86</v>
      </c>
      <c r="E243" s="446">
        <v>142.6</v>
      </c>
      <c r="F243" s="421">
        <v>9.157</v>
      </c>
      <c r="G243" s="347">
        <v>139.43</v>
      </c>
      <c r="H243" s="347">
        <v>1.7649999999999999</v>
      </c>
      <c r="I243" s="347">
        <v>153.15</v>
      </c>
      <c r="J243" s="810">
        <v>9.4786347099999997</v>
      </c>
      <c r="K243" s="346"/>
      <c r="L243" s="774"/>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x14ac:dyDescent="0.2">
      <c r="B244" s="398">
        <f t="shared" si="38"/>
        <v>33</v>
      </c>
      <c r="C244" s="454" t="s">
        <v>61</v>
      </c>
      <c r="D244" s="454" t="s">
        <v>86</v>
      </c>
      <c r="E244" s="446">
        <v>239.5</v>
      </c>
      <c r="F244" s="421">
        <v>2.6720000000000002</v>
      </c>
      <c r="G244" s="347">
        <v>234.45</v>
      </c>
      <c r="H244" s="399">
        <v>0.44600000000000001</v>
      </c>
      <c r="I244" s="347">
        <v>238.45</v>
      </c>
      <c r="J244" s="810">
        <v>2.1120000000000001</v>
      </c>
      <c r="K244" s="346"/>
      <c r="L244" s="774"/>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x14ac:dyDescent="0.2">
      <c r="B245" s="398">
        <f t="shared" si="38"/>
        <v>34</v>
      </c>
      <c r="C245" s="454" t="s">
        <v>62</v>
      </c>
      <c r="D245" s="454" t="s">
        <v>87</v>
      </c>
      <c r="E245" s="446">
        <v>120.5</v>
      </c>
      <c r="F245" s="421">
        <v>3.677</v>
      </c>
      <c r="G245" s="347">
        <v>118.55</v>
      </c>
      <c r="H245" s="347">
        <v>0.59499999999999997</v>
      </c>
      <c r="I245" s="347">
        <v>120.75</v>
      </c>
      <c r="J245" s="807">
        <v>4.154369</v>
      </c>
      <c r="K245" s="346"/>
      <c r="L245" s="772"/>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x14ac:dyDescent="0.2">
      <c r="B246" s="398">
        <f t="shared" si="38"/>
        <v>35</v>
      </c>
      <c r="C246" s="454" t="s">
        <v>63</v>
      </c>
      <c r="D246" s="454" t="s">
        <v>88</v>
      </c>
      <c r="E246" s="446">
        <v>110.56</v>
      </c>
      <c r="F246" s="421">
        <v>2.75</v>
      </c>
      <c r="G246" s="347">
        <v>107.16</v>
      </c>
      <c r="H246" s="347">
        <v>0.311</v>
      </c>
      <c r="I246" s="347">
        <v>110.56</v>
      </c>
      <c r="J246" s="807">
        <v>2.75</v>
      </c>
      <c r="K246" s="346"/>
      <c r="L246" s="772"/>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x14ac:dyDescent="0.2">
      <c r="B247" s="398">
        <f t="shared" si="38"/>
        <v>36</v>
      </c>
      <c r="C247" s="454" t="s">
        <v>64</v>
      </c>
      <c r="D247" s="454" t="s">
        <v>89</v>
      </c>
      <c r="E247" s="446">
        <v>72</v>
      </c>
      <c r="F247" s="421">
        <v>38.036000000000001</v>
      </c>
      <c r="G247" s="347">
        <v>48.7</v>
      </c>
      <c r="H247" s="399">
        <v>2.5659999999999998</v>
      </c>
      <c r="I247" s="347">
        <v>69.81</v>
      </c>
      <c r="J247" s="810">
        <v>32.828000000000003</v>
      </c>
      <c r="K247" s="346" t="s">
        <v>68</v>
      </c>
      <c r="L247" s="774"/>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x14ac:dyDescent="0.2">
      <c r="B248" s="398">
        <f t="shared" si="38"/>
        <v>37</v>
      </c>
      <c r="C248" s="454" t="s">
        <v>65</v>
      </c>
      <c r="D248" s="454" t="s">
        <v>89</v>
      </c>
      <c r="E248" s="446">
        <v>185</v>
      </c>
      <c r="F248" s="421">
        <v>388.72199999999998</v>
      </c>
      <c r="G248" s="347">
        <v>167</v>
      </c>
      <c r="H248" s="399">
        <v>217.202</v>
      </c>
      <c r="I248" s="347">
        <v>173.54</v>
      </c>
      <c r="J248" s="811">
        <v>276.416</v>
      </c>
      <c r="K248" s="346"/>
      <c r="L248" s="774"/>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x14ac:dyDescent="0.2">
      <c r="B249" s="398">
        <v>38</v>
      </c>
      <c r="C249" s="454" t="s">
        <v>66</v>
      </c>
      <c r="D249" s="454" t="s">
        <v>90</v>
      </c>
      <c r="E249" s="446">
        <v>231</v>
      </c>
      <c r="F249" s="421">
        <v>30.48</v>
      </c>
      <c r="G249" s="347">
        <v>228.11</v>
      </c>
      <c r="H249" s="399">
        <v>5.93</v>
      </c>
      <c r="I249" s="347">
        <v>229.01</v>
      </c>
      <c r="J249" s="810">
        <v>7.0949999999999998</v>
      </c>
      <c r="K249" s="346"/>
      <c r="L249" s="774"/>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x14ac:dyDescent="0.2">
      <c r="B250" s="395">
        <v>39</v>
      </c>
      <c r="C250" s="396" t="s">
        <v>230</v>
      </c>
      <c r="D250" s="396" t="s">
        <v>78</v>
      </c>
      <c r="E250" s="422">
        <v>149.30000000000001</v>
      </c>
      <c r="F250" s="449">
        <v>17.670000000000002</v>
      </c>
      <c r="G250" s="422">
        <v>149.30000000000001</v>
      </c>
      <c r="H250" s="449">
        <v>17.670000000000002</v>
      </c>
      <c r="I250" s="422">
        <v>150.03899999999999</v>
      </c>
      <c r="J250" s="814">
        <v>11.64</v>
      </c>
      <c r="K250" s="346"/>
      <c r="L250" s="775"/>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x14ac:dyDescent="0.25">
      <c r="B251" s="398">
        <f>+B250+1</f>
        <v>40</v>
      </c>
      <c r="C251" s="454" t="s">
        <v>231</v>
      </c>
      <c r="D251" s="454" t="s">
        <v>82</v>
      </c>
      <c r="E251" s="446">
        <v>39</v>
      </c>
      <c r="F251" s="421">
        <v>0.47399999999999998</v>
      </c>
      <c r="G251" s="446">
        <v>39</v>
      </c>
      <c r="H251" s="421">
        <v>0.47</v>
      </c>
      <c r="I251" s="623">
        <v>39.01</v>
      </c>
      <c r="J251" s="807">
        <v>0.47099999999999997</v>
      </c>
      <c r="K251" s="346"/>
      <c r="L251" s="776"/>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x14ac:dyDescent="0.3">
      <c r="B252" s="400">
        <v>41</v>
      </c>
      <c r="C252" s="401" t="s">
        <v>232</v>
      </c>
      <c r="D252" s="401" t="s">
        <v>82</v>
      </c>
      <c r="E252" s="460">
        <v>70</v>
      </c>
      <c r="F252" s="423">
        <v>0.81699999999999995</v>
      </c>
      <c r="G252" s="460">
        <v>70</v>
      </c>
      <c r="H252" s="423">
        <v>0.82</v>
      </c>
      <c r="I252" s="652">
        <v>70</v>
      </c>
      <c r="J252" s="807">
        <v>0.74399999999999999</v>
      </c>
      <c r="K252" s="397"/>
      <c r="L252" s="777"/>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x14ac:dyDescent="0.25">
      <c r="B253" s="393"/>
      <c r="C253" s="394" t="s">
        <v>67</v>
      </c>
      <c r="D253" s="394"/>
      <c r="E253" s="426"/>
      <c r="F253" s="425">
        <f>SUM(F212:F252)</f>
        <v>1813.882478</v>
      </c>
      <c r="G253" s="426"/>
      <c r="H253" s="425">
        <f>SUM(H215:H252)</f>
        <v>631.01600000000008</v>
      </c>
      <c r="I253" s="426"/>
      <c r="J253" s="374">
        <f>SUM(J212:J252)</f>
        <v>1325.1853448826189</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x14ac:dyDescent="0.25">
      <c r="B254" s="403" t="s">
        <v>68</v>
      </c>
      <c r="C254" s="515" t="s">
        <v>69</v>
      </c>
      <c r="D254" s="515"/>
      <c r="E254" s="431"/>
      <c r="F254" s="428"/>
      <c r="G254" s="429"/>
      <c r="H254" s="430">
        <v>1</v>
      </c>
      <c r="I254" s="431"/>
      <c r="J254" s="357">
        <f>IFERROR(+J253/H253,0)</f>
        <v>2.1000820024890317</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x14ac:dyDescent="0.25">
      <c r="B255" s="406"/>
      <c r="C255" s="407" t="s">
        <v>234</v>
      </c>
      <c r="D255" s="408"/>
      <c r="E255" s="505">
        <v>1736.79</v>
      </c>
      <c r="F255" s="432">
        <v>1</v>
      </c>
      <c r="G255" s="433" t="s">
        <v>68</v>
      </c>
      <c r="H255" s="432">
        <f>+H253/F253*100%</f>
        <v>0.34788141329628086</v>
      </c>
      <c r="I255" s="434"/>
      <c r="J255" s="358">
        <f>+J253/F253</f>
        <v>0.73057949506396791</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x14ac:dyDescent="0.25">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x14ac:dyDescent="0.25">
      <c r="B257" s="390"/>
      <c r="C257" s="350"/>
      <c r="D257" s="350"/>
      <c r="E257" s="350"/>
      <c r="F257" s="391">
        <v>6</v>
      </c>
      <c r="G257" s="392" t="s">
        <v>6</v>
      </c>
      <c r="H257" s="581">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x14ac:dyDescent="0.2">
      <c r="B258" s="512" t="s">
        <v>18</v>
      </c>
      <c r="C258" s="515" t="s">
        <v>19</v>
      </c>
      <c r="D258" s="515" t="s">
        <v>75</v>
      </c>
      <c r="E258" s="827" t="s">
        <v>20</v>
      </c>
      <c r="F258" s="828"/>
      <c r="G258" s="827" t="s">
        <v>96</v>
      </c>
      <c r="H258" s="828"/>
      <c r="I258" s="827" t="s">
        <v>22</v>
      </c>
      <c r="J258" s="828"/>
      <c r="K258" s="509"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x14ac:dyDescent="0.2">
      <c r="B259" s="513"/>
      <c r="C259" s="516"/>
      <c r="D259" s="516"/>
      <c r="E259" s="352" t="s">
        <v>24</v>
      </c>
      <c r="F259" s="352" t="s">
        <v>25</v>
      </c>
      <c r="G259" s="351" t="s">
        <v>24</v>
      </c>
      <c r="H259" s="352" t="s">
        <v>25</v>
      </c>
      <c r="I259" s="351" t="s">
        <v>24</v>
      </c>
      <c r="J259" s="352" t="s">
        <v>25</v>
      </c>
      <c r="K259" s="510"/>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x14ac:dyDescent="0.25">
      <c r="B260" s="514"/>
      <c r="C260" s="517"/>
      <c r="D260" s="517"/>
      <c r="E260" s="354" t="s">
        <v>26</v>
      </c>
      <c r="F260" s="354" t="s">
        <v>157</v>
      </c>
      <c r="G260" s="353" t="s">
        <v>26</v>
      </c>
      <c r="H260" s="354" t="s">
        <v>157</v>
      </c>
      <c r="I260" s="353" t="s">
        <v>26</v>
      </c>
      <c r="J260" s="354" t="s">
        <v>157</v>
      </c>
      <c r="K260" s="511"/>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x14ac:dyDescent="0.25">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x14ac:dyDescent="0.2">
      <c r="B262" s="395">
        <v>1</v>
      </c>
      <c r="C262" s="396" t="s">
        <v>28</v>
      </c>
      <c r="D262" s="396" t="s">
        <v>76</v>
      </c>
      <c r="E262" s="446">
        <v>55.77</v>
      </c>
      <c r="F262" s="421">
        <v>31.144597999999998</v>
      </c>
      <c r="G262" s="346">
        <v>53.24</v>
      </c>
      <c r="H262" s="346">
        <v>18.036000000000001</v>
      </c>
      <c r="I262" s="346">
        <v>55.7</v>
      </c>
      <c r="J262" s="798">
        <v>30.7178</v>
      </c>
      <c r="K262" s="522" t="s">
        <v>207</v>
      </c>
      <c r="L262" s="552"/>
      <c r="M262" s="553"/>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x14ac:dyDescent="0.2">
      <c r="B263" s="398">
        <f>+B262+1</f>
        <v>2</v>
      </c>
      <c r="C263" s="454" t="s">
        <v>29</v>
      </c>
      <c r="D263" s="454" t="s">
        <v>76</v>
      </c>
      <c r="E263" s="422">
        <v>339.5</v>
      </c>
      <c r="F263" s="449">
        <v>7.77</v>
      </c>
      <c r="G263" s="347">
        <v>338.77</v>
      </c>
      <c r="H263" s="399">
        <v>7.157</v>
      </c>
      <c r="I263" s="347">
        <v>338.77</v>
      </c>
      <c r="J263" s="797">
        <v>7.1574999999999998</v>
      </c>
      <c r="K263" s="522"/>
      <c r="L263" s="554"/>
      <c r="M263" s="555"/>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x14ac:dyDescent="0.2">
      <c r="B264" s="398">
        <f t="shared" ref="B264:B298" si="41">+B263+1</f>
        <v>3</v>
      </c>
      <c r="C264" s="454" t="s">
        <v>30</v>
      </c>
      <c r="D264" s="454" t="s">
        <v>77</v>
      </c>
      <c r="E264" s="446">
        <v>77.5</v>
      </c>
      <c r="F264" s="421">
        <v>49.02</v>
      </c>
      <c r="G264" s="347">
        <v>73.650000000000006</v>
      </c>
      <c r="H264" s="399">
        <v>27.367000000000001</v>
      </c>
      <c r="I264" s="347">
        <v>77.23</v>
      </c>
      <c r="J264" s="797">
        <v>47.274669000000003</v>
      </c>
      <c r="K264" s="522"/>
      <c r="L264" s="554"/>
      <c r="M264" s="555"/>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x14ac:dyDescent="0.3">
      <c r="B265" s="398">
        <f t="shared" si="41"/>
        <v>4</v>
      </c>
      <c r="C265" s="454" t="s">
        <v>31</v>
      </c>
      <c r="D265" s="454" t="s">
        <v>78</v>
      </c>
      <c r="E265" s="446">
        <v>463.3</v>
      </c>
      <c r="F265" s="421">
        <v>49.9</v>
      </c>
      <c r="G265" s="445">
        <v>462.22</v>
      </c>
      <c r="H265" s="445">
        <v>27.992000000000001</v>
      </c>
      <c r="I265" s="421">
        <v>462.86</v>
      </c>
      <c r="J265" s="799">
        <v>45.125999999999998</v>
      </c>
      <c r="K265" s="502">
        <v>35.549999999999997</v>
      </c>
      <c r="L265" s="556"/>
      <c r="M265" s="557"/>
      <c r="N265" s="53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x14ac:dyDescent="0.25">
      <c r="B266" s="398">
        <f t="shared" si="41"/>
        <v>5</v>
      </c>
      <c r="C266" s="454" t="s">
        <v>32</v>
      </c>
      <c r="D266" s="454" t="s">
        <v>79</v>
      </c>
      <c r="E266" s="446">
        <v>207</v>
      </c>
      <c r="F266" s="421">
        <v>9.5030000000000001</v>
      </c>
      <c r="G266" s="347">
        <v>195.32</v>
      </c>
      <c r="H266" s="348">
        <v>1.218</v>
      </c>
      <c r="I266" s="652">
        <v>207.01</v>
      </c>
      <c r="J266" s="799">
        <v>9.5169999999999995</v>
      </c>
      <c r="K266" s="502" t="s">
        <v>207</v>
      </c>
      <c r="L266" s="558"/>
      <c r="M266" s="559"/>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x14ac:dyDescent="0.25">
      <c r="B267" s="398">
        <f t="shared" si="41"/>
        <v>6</v>
      </c>
      <c r="C267" s="454" t="s">
        <v>33</v>
      </c>
      <c r="D267" s="454" t="s">
        <v>79</v>
      </c>
      <c r="E267" s="446">
        <v>320</v>
      </c>
      <c r="F267" s="421">
        <v>5.1509999999999998</v>
      </c>
      <c r="G267" s="347">
        <v>306.97000000000003</v>
      </c>
      <c r="H267" s="348">
        <v>0.65700000000000003</v>
      </c>
      <c r="I267" s="652">
        <v>319.89999999999998</v>
      </c>
      <c r="J267" s="799">
        <v>5.109</v>
      </c>
      <c r="K267" s="502" t="s">
        <v>207</v>
      </c>
      <c r="L267" s="560"/>
      <c r="M267" s="561"/>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x14ac:dyDescent="0.25">
      <c r="B268" s="398">
        <f t="shared" si="41"/>
        <v>7</v>
      </c>
      <c r="C268" s="454" t="s">
        <v>34</v>
      </c>
      <c r="D268" s="454" t="s">
        <v>80</v>
      </c>
      <c r="E268" s="446">
        <v>90</v>
      </c>
      <c r="F268" s="421">
        <v>689.09100000000001</v>
      </c>
      <c r="G268" s="347">
        <v>79.7</v>
      </c>
      <c r="H268" s="347">
        <v>281.37</v>
      </c>
      <c r="I268" s="652">
        <v>84.92</v>
      </c>
      <c r="J268" s="799">
        <v>457.52972155127742</v>
      </c>
      <c r="K268" s="502"/>
      <c r="L268" s="558"/>
      <c r="M268" s="562"/>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x14ac:dyDescent="0.2">
      <c r="B269" s="398">
        <f t="shared" si="41"/>
        <v>8</v>
      </c>
      <c r="C269" s="454" t="s">
        <v>35</v>
      </c>
      <c r="D269" s="454" t="s">
        <v>81</v>
      </c>
      <c r="E269" s="446">
        <v>120.5</v>
      </c>
      <c r="F269" s="421">
        <v>2.0920000000000001</v>
      </c>
      <c r="G269" s="347">
        <v>114.9</v>
      </c>
      <c r="H269" s="399">
        <v>0.22800000000000001</v>
      </c>
      <c r="I269" s="447">
        <v>119.62</v>
      </c>
      <c r="J269" s="799">
        <v>1.4179999999999999</v>
      </c>
      <c r="K269" s="546" t="s">
        <v>207</v>
      </c>
      <c r="L269" s="560"/>
      <c r="M269" s="561"/>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x14ac:dyDescent="0.25">
      <c r="B270" s="398">
        <f t="shared" si="41"/>
        <v>9</v>
      </c>
      <c r="C270" s="454" t="s">
        <v>36</v>
      </c>
      <c r="D270" s="454" t="s">
        <v>81</v>
      </c>
      <c r="E270" s="446">
        <v>120.8</v>
      </c>
      <c r="F270" s="421">
        <v>2.3530000000000002</v>
      </c>
      <c r="G270" s="347">
        <v>113.61</v>
      </c>
      <c r="H270" s="399">
        <v>0.35699999999999998</v>
      </c>
      <c r="I270" s="652">
        <v>117.97</v>
      </c>
      <c r="J270" s="799">
        <v>0.69799999999999995</v>
      </c>
      <c r="K270" s="546" t="s">
        <v>207</v>
      </c>
      <c r="L270" s="558"/>
      <c r="M270" s="562"/>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x14ac:dyDescent="0.25">
      <c r="B271" s="398">
        <f t="shared" si="41"/>
        <v>10</v>
      </c>
      <c r="C271" s="454" t="s">
        <v>37</v>
      </c>
      <c r="D271" s="454" t="s">
        <v>82</v>
      </c>
      <c r="E271" s="446">
        <v>46.5</v>
      </c>
      <c r="F271" s="446">
        <v>4.5999999999999996</v>
      </c>
      <c r="G271" s="347">
        <v>43.1</v>
      </c>
      <c r="H271" s="347">
        <v>2.1640000000000001</v>
      </c>
      <c r="I271" s="652">
        <v>40.909999999999997</v>
      </c>
      <c r="J271" s="799">
        <v>0.80200000000000005</v>
      </c>
      <c r="K271" s="546" t="s">
        <v>207</v>
      </c>
      <c r="L271" s="558"/>
      <c r="M271" s="562"/>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x14ac:dyDescent="0.25">
      <c r="B272" s="398">
        <f t="shared" si="41"/>
        <v>11</v>
      </c>
      <c r="C272" s="454" t="s">
        <v>39</v>
      </c>
      <c r="D272" s="454" t="s">
        <v>82</v>
      </c>
      <c r="E272" s="446">
        <v>51.5</v>
      </c>
      <c r="F272" s="421">
        <v>2.4159999999999999</v>
      </c>
      <c r="G272" s="347">
        <v>46.86</v>
      </c>
      <c r="H272" s="347">
        <v>0.90600000000000003</v>
      </c>
      <c r="I272" s="653">
        <v>51.46</v>
      </c>
      <c r="J272" s="799">
        <v>2.5539999999999998</v>
      </c>
      <c r="K272" s="546" t="s">
        <v>207</v>
      </c>
      <c r="L272" s="558"/>
      <c r="M272" s="562"/>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x14ac:dyDescent="0.25">
      <c r="B273" s="398">
        <f t="shared" si="41"/>
        <v>12</v>
      </c>
      <c r="C273" s="454" t="s">
        <v>40</v>
      </c>
      <c r="D273" s="454" t="s">
        <v>80</v>
      </c>
      <c r="E273" s="446">
        <v>81</v>
      </c>
      <c r="F273" s="421">
        <v>1.093</v>
      </c>
      <c r="G273" s="347">
        <v>73.94</v>
      </c>
      <c r="H273" s="399">
        <v>0.18</v>
      </c>
      <c r="I273" s="652">
        <v>75.02</v>
      </c>
      <c r="J273" s="799">
        <v>0.315</v>
      </c>
      <c r="K273" s="546" t="s">
        <v>207</v>
      </c>
      <c r="L273" s="558"/>
      <c r="M273" s="562"/>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x14ac:dyDescent="0.25">
      <c r="B274" s="398">
        <f t="shared" si="41"/>
        <v>13</v>
      </c>
      <c r="C274" s="454" t="s">
        <v>41</v>
      </c>
      <c r="D274" s="454" t="s">
        <v>80</v>
      </c>
      <c r="E274" s="446">
        <v>82.8</v>
      </c>
      <c r="F274" s="421">
        <v>0.42899999999999999</v>
      </c>
      <c r="G274" s="347">
        <v>80.02</v>
      </c>
      <c r="H274" s="399">
        <v>8.4000000000000005E-2</v>
      </c>
      <c r="I274" s="652">
        <v>78</v>
      </c>
      <c r="J274" s="799">
        <v>0</v>
      </c>
      <c r="K274" s="546" t="s">
        <v>207</v>
      </c>
      <c r="L274" s="558"/>
      <c r="M274" s="562"/>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x14ac:dyDescent="0.25">
      <c r="B275" s="398">
        <f t="shared" si="41"/>
        <v>14</v>
      </c>
      <c r="C275" s="454" t="s">
        <v>42</v>
      </c>
      <c r="D275" s="454" t="s">
        <v>80</v>
      </c>
      <c r="E275" s="446">
        <v>69.95</v>
      </c>
      <c r="F275" s="421">
        <v>0.25</v>
      </c>
      <c r="G275" s="347">
        <v>67.95</v>
      </c>
      <c r="H275" s="347">
        <v>4.9000000000000002E-2</v>
      </c>
      <c r="I275" s="652">
        <v>62.84</v>
      </c>
      <c r="J275" s="799">
        <v>0.129</v>
      </c>
      <c r="K275" s="546" t="s">
        <v>207</v>
      </c>
      <c r="L275" s="558"/>
      <c r="M275" s="562"/>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x14ac:dyDescent="0.25">
      <c r="B276" s="398">
        <f t="shared" si="41"/>
        <v>15</v>
      </c>
      <c r="C276" s="454" t="s">
        <v>43</v>
      </c>
      <c r="D276" s="454" t="s">
        <v>80</v>
      </c>
      <c r="E276" s="446">
        <v>48.2</v>
      </c>
      <c r="F276" s="421">
        <v>0.38500000000000001</v>
      </c>
      <c r="G276" s="347">
        <v>44.16</v>
      </c>
      <c r="H276" s="399">
        <v>8.9999999999999993E-3</v>
      </c>
      <c r="I276" s="652">
        <v>46.92</v>
      </c>
      <c r="J276" s="799">
        <v>0.39400000000000002</v>
      </c>
      <c r="K276" s="546"/>
      <c r="L276" s="558"/>
      <c r="M276" s="562"/>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x14ac:dyDescent="0.2">
      <c r="B277" s="398">
        <f t="shared" si="41"/>
        <v>16</v>
      </c>
      <c r="C277" s="454" t="s">
        <v>83</v>
      </c>
      <c r="D277" s="454" t="s">
        <v>44</v>
      </c>
      <c r="E277" s="446">
        <v>136</v>
      </c>
      <c r="F277" s="421">
        <v>440</v>
      </c>
      <c r="G277" s="347">
        <v>127.3</v>
      </c>
      <c r="H277" s="347">
        <v>64.974000000000004</v>
      </c>
      <c r="I277" s="347">
        <v>135.86000000000001</v>
      </c>
      <c r="J277" s="807">
        <v>358.57728159999999</v>
      </c>
      <c r="K277" s="522" t="s">
        <v>207</v>
      </c>
      <c r="L277" s="563"/>
      <c r="M277" s="564"/>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x14ac:dyDescent="0.2">
      <c r="B278" s="398">
        <f t="shared" si="41"/>
        <v>17</v>
      </c>
      <c r="C278" s="454" t="s">
        <v>45</v>
      </c>
      <c r="D278" s="454" t="s">
        <v>44</v>
      </c>
      <c r="E278" s="446">
        <v>113.5</v>
      </c>
      <c r="F278" s="421">
        <v>3.7519999999999998</v>
      </c>
      <c r="G278" s="347">
        <v>104.42</v>
      </c>
      <c r="H278" s="347">
        <v>0.54500000000000004</v>
      </c>
      <c r="I278" s="348">
        <v>112.41</v>
      </c>
      <c r="J278" s="807">
        <v>0.40901389999999999</v>
      </c>
      <c r="K278" s="522" t="s">
        <v>207</v>
      </c>
      <c r="L278" s="563"/>
      <c r="M278" s="564"/>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x14ac:dyDescent="0.2">
      <c r="B279" s="398">
        <f t="shared" si="41"/>
        <v>18</v>
      </c>
      <c r="C279" s="454" t="s">
        <v>46</v>
      </c>
      <c r="D279" s="454" t="s">
        <v>44</v>
      </c>
      <c r="E279" s="446">
        <v>225.4</v>
      </c>
      <c r="F279" s="446">
        <v>1.2</v>
      </c>
      <c r="G279" s="347">
        <v>223.12</v>
      </c>
      <c r="H279" s="347">
        <v>7.0999999999999994E-2</v>
      </c>
      <c r="I279" s="347">
        <v>202.44</v>
      </c>
      <c r="J279" s="807">
        <v>0.20119400000000001</v>
      </c>
      <c r="K279" s="522" t="s">
        <v>207</v>
      </c>
      <c r="L279" s="563"/>
      <c r="M279" s="564"/>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x14ac:dyDescent="0.2">
      <c r="B280" s="398">
        <v>19</v>
      </c>
      <c r="C280" s="454" t="s">
        <v>47</v>
      </c>
      <c r="D280" s="454" t="s">
        <v>44</v>
      </c>
      <c r="E280" s="446">
        <v>224</v>
      </c>
      <c r="F280" s="421">
        <v>0.6</v>
      </c>
      <c r="G280" s="347">
        <v>215.98</v>
      </c>
      <c r="H280" s="347">
        <v>0.105</v>
      </c>
      <c r="I280" s="348">
        <v>223.57</v>
      </c>
      <c r="J280" s="808">
        <v>0.55700000000000005</v>
      </c>
      <c r="K280" s="522" t="s">
        <v>207</v>
      </c>
      <c r="L280" s="565"/>
      <c r="M280" s="566"/>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x14ac:dyDescent="0.2">
      <c r="B281" s="398">
        <f t="shared" si="41"/>
        <v>20</v>
      </c>
      <c r="C281" s="454" t="s">
        <v>48</v>
      </c>
      <c r="D281" s="454" t="s">
        <v>44</v>
      </c>
      <c r="E281" s="446">
        <v>196</v>
      </c>
      <c r="F281" s="421">
        <v>1.5820000000000001</v>
      </c>
      <c r="G281" s="347">
        <v>189.04</v>
      </c>
      <c r="H281" s="347">
        <v>0.41899999999999998</v>
      </c>
      <c r="I281" s="348">
        <v>194.9</v>
      </c>
      <c r="J281" s="807">
        <v>0.325318</v>
      </c>
      <c r="K281" s="522" t="s">
        <v>207</v>
      </c>
      <c r="L281" s="563"/>
      <c r="M281" s="564"/>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x14ac:dyDescent="0.2">
      <c r="B282" s="398">
        <f t="shared" si="41"/>
        <v>21</v>
      </c>
      <c r="C282" s="454" t="s">
        <v>49</v>
      </c>
      <c r="D282" s="454" t="s">
        <v>44</v>
      </c>
      <c r="E282" s="446">
        <v>174</v>
      </c>
      <c r="F282" s="421">
        <v>0.47899999999999998</v>
      </c>
      <c r="G282" s="347">
        <v>172.38</v>
      </c>
      <c r="H282" s="347">
        <v>7.3999999999999996E-2</v>
      </c>
      <c r="I282" s="348">
        <v>170.52</v>
      </c>
      <c r="J282" s="807">
        <v>0.15937519999999999</v>
      </c>
      <c r="K282" s="522" t="s">
        <v>207</v>
      </c>
      <c r="L282" s="563"/>
      <c r="M282" s="564"/>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x14ac:dyDescent="0.2">
      <c r="B283" s="395">
        <f t="shared" si="41"/>
        <v>22</v>
      </c>
      <c r="C283" s="396" t="s">
        <v>50</v>
      </c>
      <c r="D283" s="396" t="s">
        <v>44</v>
      </c>
      <c r="E283" s="422">
        <v>229.1</v>
      </c>
      <c r="F283" s="449">
        <v>0.79200000000000004</v>
      </c>
      <c r="G283" s="346">
        <v>222.84</v>
      </c>
      <c r="H283" s="346">
        <v>0.28000000000000003</v>
      </c>
      <c r="I283" s="492">
        <v>225.93</v>
      </c>
      <c r="J283" s="809">
        <v>0.52197300000000002</v>
      </c>
      <c r="K283" s="522" t="s">
        <v>207</v>
      </c>
      <c r="L283" s="565"/>
      <c r="M283" s="566"/>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x14ac:dyDescent="0.2">
      <c r="B284" s="398">
        <f t="shared" si="41"/>
        <v>23</v>
      </c>
      <c r="C284" s="454" t="s">
        <v>51</v>
      </c>
      <c r="D284" s="454" t="s">
        <v>44</v>
      </c>
      <c r="E284" s="446">
        <v>249</v>
      </c>
      <c r="F284" s="421">
        <v>2.1240000000000001</v>
      </c>
      <c r="G284" s="347">
        <v>239.52</v>
      </c>
      <c r="H284" s="347">
        <v>0.187</v>
      </c>
      <c r="I284" s="348">
        <v>243.17</v>
      </c>
      <c r="J284" s="808">
        <v>0.64484799999999998</v>
      </c>
      <c r="K284" s="522" t="s">
        <v>207</v>
      </c>
      <c r="L284" s="565"/>
      <c r="M284" s="566"/>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x14ac:dyDescent="0.2">
      <c r="B285" s="398">
        <f t="shared" si="41"/>
        <v>24</v>
      </c>
      <c r="C285" s="454" t="s">
        <v>52</v>
      </c>
      <c r="D285" s="454" t="s">
        <v>84</v>
      </c>
      <c r="E285" s="446">
        <v>164.75</v>
      </c>
      <c r="F285" s="446">
        <v>5</v>
      </c>
      <c r="G285" s="347">
        <v>154.43</v>
      </c>
      <c r="H285" s="347">
        <v>0.503</v>
      </c>
      <c r="I285" s="347">
        <v>149.51</v>
      </c>
      <c r="J285" s="808">
        <v>3.1895257099999998</v>
      </c>
      <c r="K285" s="522" t="s">
        <v>207</v>
      </c>
      <c r="L285" s="565"/>
      <c r="M285" s="566"/>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x14ac:dyDescent="0.2">
      <c r="B286" s="398">
        <f t="shared" si="41"/>
        <v>25</v>
      </c>
      <c r="C286" s="454" t="s">
        <v>53</v>
      </c>
      <c r="D286" s="454" t="s">
        <v>84</v>
      </c>
      <c r="E286" s="446">
        <v>179.1</v>
      </c>
      <c r="F286" s="421">
        <v>4.2</v>
      </c>
      <c r="G286" s="348">
        <v>166.32</v>
      </c>
      <c r="H286" s="348">
        <v>0.39800000000000002</v>
      </c>
      <c r="I286" s="347">
        <v>231.34</v>
      </c>
      <c r="J286" s="807">
        <v>2.6769261200000001</v>
      </c>
      <c r="K286" s="522" t="s">
        <v>207</v>
      </c>
      <c r="L286" s="563"/>
      <c r="M286" s="564"/>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x14ac:dyDescent="0.2">
      <c r="B287" s="398">
        <f t="shared" si="41"/>
        <v>26</v>
      </c>
      <c r="C287" s="454" t="s">
        <v>54</v>
      </c>
      <c r="D287" s="454" t="s">
        <v>85</v>
      </c>
      <c r="E287" s="446">
        <v>325.56</v>
      </c>
      <c r="F287" s="421">
        <v>0.70099999999999996</v>
      </c>
      <c r="G287" s="348">
        <v>315.85000000000002</v>
      </c>
      <c r="H287" s="348">
        <v>0.114</v>
      </c>
      <c r="I287" s="348">
        <v>325.08</v>
      </c>
      <c r="J287" s="808">
        <v>0.65691717999999999</v>
      </c>
      <c r="K287" s="522" t="s">
        <v>207</v>
      </c>
      <c r="L287" s="565"/>
      <c r="M287" s="566"/>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x14ac:dyDescent="0.2">
      <c r="B288" s="398">
        <f t="shared" si="41"/>
        <v>27</v>
      </c>
      <c r="C288" s="454" t="s">
        <v>55</v>
      </c>
      <c r="D288" s="454" t="s">
        <v>85</v>
      </c>
      <c r="E288" s="446">
        <v>129.19999999999999</v>
      </c>
      <c r="F288" s="421">
        <v>0.5</v>
      </c>
      <c r="G288" s="347">
        <v>123.6</v>
      </c>
      <c r="H288" s="347">
        <v>2.9000000000000001E-2</v>
      </c>
      <c r="I288" s="348">
        <v>129.19999999999999</v>
      </c>
      <c r="J288" s="807">
        <v>0.5</v>
      </c>
      <c r="K288" s="522" t="s">
        <v>207</v>
      </c>
      <c r="L288" s="563"/>
      <c r="M288" s="564"/>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x14ac:dyDescent="0.2">
      <c r="B289" s="398">
        <f t="shared" si="41"/>
        <v>28</v>
      </c>
      <c r="C289" s="454" t="s">
        <v>56</v>
      </c>
      <c r="D289" s="454" t="s">
        <v>85</v>
      </c>
      <c r="E289" s="446">
        <v>282.77999999999997</v>
      </c>
      <c r="F289" s="421">
        <v>0.51300000000000001</v>
      </c>
      <c r="G289" s="347">
        <v>277.87</v>
      </c>
      <c r="H289" s="347">
        <v>7.3999999999999996E-2</v>
      </c>
      <c r="I289" s="347">
        <v>282.77999999999997</v>
      </c>
      <c r="J289" s="807">
        <v>0.57354000000000005</v>
      </c>
      <c r="K289" s="522" t="s">
        <v>207</v>
      </c>
      <c r="L289" s="563"/>
      <c r="M289" s="564"/>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x14ac:dyDescent="0.2">
      <c r="B290" s="398">
        <f t="shared" si="41"/>
        <v>29</v>
      </c>
      <c r="C290" s="454" t="s">
        <v>57</v>
      </c>
      <c r="D290" s="454" t="s">
        <v>85</v>
      </c>
      <c r="E290" s="446">
        <v>99</v>
      </c>
      <c r="F290" s="421">
        <v>2.6110000000000002</v>
      </c>
      <c r="G290" s="347">
        <v>91.8</v>
      </c>
      <c r="H290" s="347">
        <v>0.17</v>
      </c>
      <c r="I290" s="348">
        <v>98.88</v>
      </c>
      <c r="J290" s="808">
        <v>0.97362883899999997</v>
      </c>
      <c r="K290" s="522" t="s">
        <v>207</v>
      </c>
      <c r="L290" s="565"/>
      <c r="M290" s="566"/>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x14ac:dyDescent="0.2">
      <c r="B291" s="398">
        <f t="shared" si="41"/>
        <v>30</v>
      </c>
      <c r="C291" s="454" t="s">
        <v>58</v>
      </c>
      <c r="D291" s="454" t="s">
        <v>85</v>
      </c>
      <c r="E291" s="446">
        <v>189.7</v>
      </c>
      <c r="F291" s="446">
        <v>7.9000000000000001E-2</v>
      </c>
      <c r="G291" s="347">
        <v>188.25</v>
      </c>
      <c r="H291" s="347">
        <v>3.2000000000000001E-2</v>
      </c>
      <c r="I291" s="348">
        <v>189.42</v>
      </c>
      <c r="J291" s="808">
        <v>7.3871999999999993E-2</v>
      </c>
      <c r="K291" s="522" t="s">
        <v>207</v>
      </c>
      <c r="L291" s="565"/>
      <c r="M291" s="566"/>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x14ac:dyDescent="0.2">
      <c r="B292" s="398">
        <f t="shared" si="41"/>
        <v>31</v>
      </c>
      <c r="C292" s="454" t="s">
        <v>59</v>
      </c>
      <c r="D292" s="454" t="s">
        <v>85</v>
      </c>
      <c r="E292" s="446">
        <v>171.19</v>
      </c>
      <c r="F292" s="421">
        <v>9.6879999999999994E-2</v>
      </c>
      <c r="G292" s="347">
        <v>169.34</v>
      </c>
      <c r="H292" s="399">
        <v>5.1999999999999998E-2</v>
      </c>
      <c r="I292" s="348">
        <v>171.2</v>
      </c>
      <c r="J292" s="808">
        <v>9.7122E-2</v>
      </c>
      <c r="K292" s="522" t="s">
        <v>207</v>
      </c>
      <c r="L292" s="565"/>
      <c r="M292" s="566"/>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x14ac:dyDescent="0.2">
      <c r="B293" s="398">
        <f t="shared" si="41"/>
        <v>32</v>
      </c>
      <c r="C293" s="454" t="s">
        <v>60</v>
      </c>
      <c r="D293" s="454" t="s">
        <v>86</v>
      </c>
      <c r="E293" s="446">
        <v>142.6</v>
      </c>
      <c r="F293" s="421">
        <v>9.157</v>
      </c>
      <c r="G293" s="347">
        <v>139.43</v>
      </c>
      <c r="H293" s="347">
        <v>1.7649999999999999</v>
      </c>
      <c r="I293" s="347">
        <v>153.16</v>
      </c>
      <c r="J293" s="810">
        <v>9.5078355800000001</v>
      </c>
      <c r="K293" s="522" t="s">
        <v>207</v>
      </c>
      <c r="L293" s="550"/>
      <c r="M293" s="567"/>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x14ac:dyDescent="0.2">
      <c r="B294" s="398">
        <f t="shared" si="41"/>
        <v>33</v>
      </c>
      <c r="C294" s="454" t="s">
        <v>61</v>
      </c>
      <c r="D294" s="454" t="s">
        <v>86</v>
      </c>
      <c r="E294" s="446">
        <v>239.5</v>
      </c>
      <c r="F294" s="421">
        <v>2.6720000000000002</v>
      </c>
      <c r="G294" s="347">
        <v>234.45</v>
      </c>
      <c r="H294" s="399">
        <v>0.44600000000000001</v>
      </c>
      <c r="I294" s="347">
        <v>238.45</v>
      </c>
      <c r="J294" s="810">
        <v>2.1120000000000001</v>
      </c>
      <c r="K294" s="522" t="s">
        <v>207</v>
      </c>
      <c r="L294" s="550"/>
      <c r="M294" s="567"/>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x14ac:dyDescent="0.2">
      <c r="B295" s="398">
        <f t="shared" si="41"/>
        <v>34</v>
      </c>
      <c r="C295" s="454" t="s">
        <v>62</v>
      </c>
      <c r="D295" s="454" t="s">
        <v>87</v>
      </c>
      <c r="E295" s="446">
        <v>120.5</v>
      </c>
      <c r="F295" s="421">
        <v>3.677</v>
      </c>
      <c r="G295" s="347">
        <v>118.55</v>
      </c>
      <c r="H295" s="347">
        <v>0.59499999999999997</v>
      </c>
      <c r="I295" s="347">
        <v>120.75</v>
      </c>
      <c r="J295" s="807">
        <v>4.154369</v>
      </c>
      <c r="K295" s="522" t="s">
        <v>207</v>
      </c>
      <c r="L295" s="563"/>
      <c r="M295" s="564"/>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x14ac:dyDescent="0.2">
      <c r="B296" s="398">
        <f t="shared" si="41"/>
        <v>35</v>
      </c>
      <c r="C296" s="454" t="s">
        <v>63</v>
      </c>
      <c r="D296" s="454" t="s">
        <v>88</v>
      </c>
      <c r="E296" s="446">
        <v>110.56</v>
      </c>
      <c r="F296" s="421">
        <v>2.75</v>
      </c>
      <c r="G296" s="347">
        <v>107.16</v>
      </c>
      <c r="H296" s="347">
        <v>0.311</v>
      </c>
      <c r="I296" s="347">
        <v>110.56</v>
      </c>
      <c r="J296" s="807">
        <v>2.75</v>
      </c>
      <c r="K296" s="522" t="s">
        <v>207</v>
      </c>
      <c r="L296" s="563"/>
      <c r="M296" s="564"/>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x14ac:dyDescent="0.2">
      <c r="B297" s="398">
        <f t="shared" si="41"/>
        <v>36</v>
      </c>
      <c r="C297" s="454" t="s">
        <v>64</v>
      </c>
      <c r="D297" s="454" t="s">
        <v>89</v>
      </c>
      <c r="E297" s="446">
        <v>72</v>
      </c>
      <c r="F297" s="421">
        <v>38.036000000000001</v>
      </c>
      <c r="G297" s="347">
        <v>54.7</v>
      </c>
      <c r="H297" s="399">
        <v>4.0830000000000002</v>
      </c>
      <c r="I297" s="347">
        <v>69.69</v>
      </c>
      <c r="J297" s="810">
        <v>32.555</v>
      </c>
      <c r="K297" s="522"/>
      <c r="L297" s="550"/>
      <c r="M297" s="551"/>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x14ac:dyDescent="0.2">
      <c r="B298" s="398">
        <f t="shared" si="41"/>
        <v>37</v>
      </c>
      <c r="C298" s="454" t="s">
        <v>65</v>
      </c>
      <c r="D298" s="454" t="s">
        <v>89</v>
      </c>
      <c r="E298" s="446">
        <v>185</v>
      </c>
      <c r="F298" s="421">
        <v>388.72199999999998</v>
      </c>
      <c r="G298" s="347">
        <v>167</v>
      </c>
      <c r="H298" s="399">
        <v>217.202</v>
      </c>
      <c r="I298" s="347">
        <v>173.19</v>
      </c>
      <c r="J298" s="811">
        <v>273.14600000000002</v>
      </c>
      <c r="K298" s="522" t="s">
        <v>207</v>
      </c>
      <c r="L298" s="550"/>
      <c r="M298" s="551"/>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x14ac:dyDescent="0.2">
      <c r="B299" s="398">
        <v>38</v>
      </c>
      <c r="C299" s="454" t="s">
        <v>66</v>
      </c>
      <c r="D299" s="454" t="s">
        <v>90</v>
      </c>
      <c r="E299" s="446">
        <v>231</v>
      </c>
      <c r="F299" s="421">
        <v>30.48</v>
      </c>
      <c r="G299" s="347">
        <v>228.1</v>
      </c>
      <c r="H299" s="399">
        <v>5.9</v>
      </c>
      <c r="I299" s="347">
        <v>228.94</v>
      </c>
      <c r="J299" s="810">
        <v>6.8209999999999997</v>
      </c>
      <c r="K299" s="522" t="s">
        <v>207</v>
      </c>
      <c r="L299" s="550"/>
      <c r="M299" s="551"/>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x14ac:dyDescent="0.2">
      <c r="B300" s="395">
        <v>39</v>
      </c>
      <c r="C300" s="396" t="s">
        <v>230</v>
      </c>
      <c r="D300" s="396" t="s">
        <v>78</v>
      </c>
      <c r="E300" s="422">
        <v>149.30000000000001</v>
      </c>
      <c r="F300" s="449">
        <v>17.670000000000002</v>
      </c>
      <c r="G300" s="422">
        <v>149.30000000000001</v>
      </c>
      <c r="H300" s="449">
        <v>17.670000000000002</v>
      </c>
      <c r="I300" s="422">
        <v>149.40600000000001</v>
      </c>
      <c r="J300" s="814">
        <v>11.03</v>
      </c>
      <c r="K300" s="524" t="s">
        <v>233</v>
      </c>
      <c r="L300" s="568"/>
      <c r="M300" s="569"/>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x14ac:dyDescent="0.25">
      <c r="B301" s="398">
        <f>+B300+1</f>
        <v>40</v>
      </c>
      <c r="C301" s="454" t="s">
        <v>231</v>
      </c>
      <c r="D301" s="454" t="s">
        <v>82</v>
      </c>
      <c r="E301" s="446">
        <v>39</v>
      </c>
      <c r="F301" s="421">
        <v>0.47399999999999998</v>
      </c>
      <c r="G301" s="446">
        <v>39</v>
      </c>
      <c r="H301" s="421">
        <v>0.47</v>
      </c>
      <c r="I301" s="623">
        <v>39.01</v>
      </c>
      <c r="J301" s="807">
        <v>0.47099999999999997</v>
      </c>
      <c r="K301" s="543" t="s">
        <v>204</v>
      </c>
      <c r="L301" s="570"/>
      <c r="M301" s="569"/>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x14ac:dyDescent="0.3">
      <c r="B302" s="400">
        <v>41</v>
      </c>
      <c r="C302" s="401" t="s">
        <v>232</v>
      </c>
      <c r="D302" s="401" t="s">
        <v>82</v>
      </c>
      <c r="E302" s="460">
        <v>70</v>
      </c>
      <c r="F302" s="423">
        <v>0.81699999999999995</v>
      </c>
      <c r="G302" s="460">
        <v>70</v>
      </c>
      <c r="H302" s="423">
        <v>0.82</v>
      </c>
      <c r="I302" s="652">
        <v>70</v>
      </c>
      <c r="J302" s="807">
        <v>0.74399999999999999</v>
      </c>
      <c r="K302" s="544"/>
      <c r="L302" s="570"/>
      <c r="M302" s="569"/>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x14ac:dyDescent="0.25">
      <c r="B303" s="393"/>
      <c r="C303" s="394" t="s">
        <v>67</v>
      </c>
      <c r="D303" s="394"/>
      <c r="E303" s="426"/>
      <c r="F303" s="425">
        <f>SUM(F262:F302)</f>
        <v>1813.882478</v>
      </c>
      <c r="G303" s="426"/>
      <c r="H303" s="425">
        <f>SUM(H265:H302)</f>
        <v>632.50300000000016</v>
      </c>
      <c r="I303" s="426"/>
      <c r="J303" s="374">
        <f>SUM(J262:J302)</f>
        <v>1322.1704306802771</v>
      </c>
      <c r="K303" s="525"/>
      <c r="L303" s="535"/>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x14ac:dyDescent="0.25">
      <c r="B304" s="403" t="s">
        <v>68</v>
      </c>
      <c r="C304" s="515" t="s">
        <v>69</v>
      </c>
      <c r="D304" s="515"/>
      <c r="E304" s="431"/>
      <c r="F304" s="428"/>
      <c r="G304" s="429"/>
      <c r="H304" s="430">
        <v>1</v>
      </c>
      <c r="I304" s="431"/>
      <c r="J304" s="357">
        <f>IFERROR(+J303/H303,0)</f>
        <v>2.0903781178591672</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x14ac:dyDescent="0.25">
      <c r="B305" s="406"/>
      <c r="C305" s="407" t="s">
        <v>234</v>
      </c>
      <c r="D305" s="408"/>
      <c r="E305" s="505">
        <v>1736.79</v>
      </c>
      <c r="F305" s="432">
        <v>1</v>
      </c>
      <c r="G305" s="433" t="s">
        <v>68</v>
      </c>
      <c r="H305" s="432">
        <f>+H303/F303*100%</f>
        <v>0.3487012017985876</v>
      </c>
      <c r="I305" s="434"/>
      <c r="J305" s="358">
        <f>+J303/F303</f>
        <v>0.72891736191096124</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x14ac:dyDescent="0.25">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x14ac:dyDescent="0.25">
      <c r="B307" s="390"/>
      <c r="C307" s="350"/>
      <c r="D307" s="350"/>
      <c r="E307" s="350"/>
      <c r="F307" s="391">
        <v>5</v>
      </c>
      <c r="G307" s="392" t="s">
        <v>6</v>
      </c>
      <c r="H307" s="581">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x14ac:dyDescent="0.2">
      <c r="B308" s="512" t="s">
        <v>18</v>
      </c>
      <c r="C308" s="515" t="s">
        <v>19</v>
      </c>
      <c r="D308" s="515" t="s">
        <v>75</v>
      </c>
      <c r="E308" s="827" t="s">
        <v>20</v>
      </c>
      <c r="F308" s="828"/>
      <c r="G308" s="507" t="s">
        <v>96</v>
      </c>
      <c r="H308" s="508"/>
      <c r="I308" s="827" t="s">
        <v>22</v>
      </c>
      <c r="J308" s="828"/>
      <c r="K308" s="509"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x14ac:dyDescent="0.2">
      <c r="B309" s="513"/>
      <c r="C309" s="516"/>
      <c r="D309" s="516"/>
      <c r="E309" s="352" t="s">
        <v>24</v>
      </c>
      <c r="F309" s="352" t="s">
        <v>25</v>
      </c>
      <c r="G309" s="351" t="s">
        <v>24</v>
      </c>
      <c r="H309" s="352" t="s">
        <v>25</v>
      </c>
      <c r="I309" s="351" t="s">
        <v>24</v>
      </c>
      <c r="J309" s="352" t="s">
        <v>25</v>
      </c>
      <c r="K309" s="510"/>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x14ac:dyDescent="0.25">
      <c r="B310" s="514"/>
      <c r="C310" s="517"/>
      <c r="D310" s="517"/>
      <c r="E310" s="354" t="s">
        <v>26</v>
      </c>
      <c r="F310" s="354" t="s">
        <v>157</v>
      </c>
      <c r="G310" s="353" t="s">
        <v>26</v>
      </c>
      <c r="H310" s="354" t="s">
        <v>157</v>
      </c>
      <c r="I310" s="353" t="s">
        <v>151</v>
      </c>
      <c r="J310" s="354" t="s">
        <v>157</v>
      </c>
      <c r="K310" s="511"/>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x14ac:dyDescent="0.25">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x14ac:dyDescent="0.2">
      <c r="B312" s="395">
        <v>1</v>
      </c>
      <c r="C312" s="396" t="s">
        <v>28</v>
      </c>
      <c r="D312" s="396" t="s">
        <v>76</v>
      </c>
      <c r="E312" s="446">
        <v>55.77</v>
      </c>
      <c r="F312" s="421">
        <v>31.144597999999998</v>
      </c>
      <c r="G312" s="346">
        <v>47.95</v>
      </c>
      <c r="H312" s="734">
        <v>2.1779999999999999</v>
      </c>
      <c r="I312" s="749">
        <v>55.73</v>
      </c>
      <c r="J312" s="796">
        <v>30.887119999999999</v>
      </c>
      <c r="K312" s="418" t="s">
        <v>207</v>
      </c>
      <c r="L312" s="519"/>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x14ac:dyDescent="0.2">
      <c r="B313" s="398">
        <v>2</v>
      </c>
      <c r="C313" s="454" t="s">
        <v>29</v>
      </c>
      <c r="D313" s="454" t="s">
        <v>76</v>
      </c>
      <c r="E313" s="422">
        <v>339.5</v>
      </c>
      <c r="F313" s="449">
        <v>7.77</v>
      </c>
      <c r="G313" s="347">
        <v>332.12</v>
      </c>
      <c r="H313" s="399">
        <v>1.96</v>
      </c>
      <c r="I313" s="347">
        <v>338.73</v>
      </c>
      <c r="J313" s="797">
        <v>7.1224999999999996</v>
      </c>
      <c r="K313" s="418" t="s">
        <v>207</v>
      </c>
      <c r="L313" s="526"/>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x14ac:dyDescent="0.2">
      <c r="B314" s="398">
        <f t="shared" ref="B314:B348" si="46">+B313+1</f>
        <v>3</v>
      </c>
      <c r="C314" s="454" t="s">
        <v>30</v>
      </c>
      <c r="D314" s="454" t="s">
        <v>77</v>
      </c>
      <c r="E314" s="446">
        <v>77.5</v>
      </c>
      <c r="F314" s="421">
        <v>49.02</v>
      </c>
      <c r="G314" s="347">
        <v>65.42</v>
      </c>
      <c r="H314" s="399">
        <v>3.02</v>
      </c>
      <c r="I314" s="347">
        <v>77.290000000000006</v>
      </c>
      <c r="J314" s="797">
        <v>47.659101</v>
      </c>
      <c r="K314" s="418"/>
      <c r="L314" s="526"/>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x14ac:dyDescent="0.3">
      <c r="B315" s="398">
        <f t="shared" si="46"/>
        <v>4</v>
      </c>
      <c r="C315" s="454" t="s">
        <v>31</v>
      </c>
      <c r="D315" s="454" t="s">
        <v>78</v>
      </c>
      <c r="E315" s="446">
        <v>463.3</v>
      </c>
      <c r="F315" s="421">
        <v>49.9</v>
      </c>
      <c r="G315" s="445">
        <v>462.27</v>
      </c>
      <c r="H315" s="445">
        <v>33.545999999999999</v>
      </c>
      <c r="I315" s="421">
        <v>462.85</v>
      </c>
      <c r="J315" s="813">
        <v>44.911000000000001</v>
      </c>
      <c r="K315" s="418" t="s">
        <v>207</v>
      </c>
      <c r="L315" s="536"/>
      <c r="M315" s="537"/>
      <c r="N315" s="53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x14ac:dyDescent="0.25">
      <c r="B316" s="398">
        <f t="shared" si="46"/>
        <v>5</v>
      </c>
      <c r="C316" s="454" t="s">
        <v>32</v>
      </c>
      <c r="D316" s="454" t="s">
        <v>79</v>
      </c>
      <c r="E316" s="446">
        <v>207</v>
      </c>
      <c r="F316" s="421">
        <v>9.5030000000000001</v>
      </c>
      <c r="G316" s="347">
        <v>205</v>
      </c>
      <c r="H316" s="348">
        <v>205.2</v>
      </c>
      <c r="I316" s="652">
        <v>207.01</v>
      </c>
      <c r="J316" s="797">
        <v>9.5169999999999995</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x14ac:dyDescent="0.25">
      <c r="B317" s="398">
        <f t="shared" si="46"/>
        <v>6</v>
      </c>
      <c r="C317" s="454" t="s">
        <v>33</v>
      </c>
      <c r="D317" s="454" t="s">
        <v>79</v>
      </c>
      <c r="E317" s="446">
        <v>320</v>
      </c>
      <c r="F317" s="421">
        <v>5.1509999999999998</v>
      </c>
      <c r="G317" s="347">
        <v>318.05</v>
      </c>
      <c r="H317" s="348">
        <v>4.2510000000000003</v>
      </c>
      <c r="I317" s="652">
        <v>319.89999999999998</v>
      </c>
      <c r="J317" s="797">
        <v>5.109</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x14ac:dyDescent="0.25">
      <c r="B318" s="398">
        <v>5</v>
      </c>
      <c r="C318" s="454" t="s">
        <v>34</v>
      </c>
      <c r="D318" s="454" t="s">
        <v>80</v>
      </c>
      <c r="E318" s="446">
        <v>90</v>
      </c>
      <c r="F318" s="421">
        <v>689.09100000000001</v>
      </c>
      <c r="G318" s="347">
        <v>79.7</v>
      </c>
      <c r="H318" s="347">
        <v>281.37</v>
      </c>
      <c r="I318" s="652">
        <v>84.95</v>
      </c>
      <c r="J318" s="797">
        <v>458.71381306458591</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x14ac:dyDescent="0.2">
      <c r="B319" s="398">
        <f t="shared" si="46"/>
        <v>6</v>
      </c>
      <c r="C319" s="454" t="s">
        <v>35</v>
      </c>
      <c r="D319" s="454" t="s">
        <v>81</v>
      </c>
      <c r="E319" s="446">
        <v>120.5</v>
      </c>
      <c r="F319" s="421">
        <v>2.0920000000000001</v>
      </c>
      <c r="G319" s="347">
        <v>119.21</v>
      </c>
      <c r="H319" s="399">
        <v>1.532</v>
      </c>
      <c r="I319" s="447">
        <v>119.68</v>
      </c>
      <c r="J319" s="797">
        <v>1.4410000000000001</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x14ac:dyDescent="0.25">
      <c r="B320" s="398">
        <f t="shared" si="46"/>
        <v>7</v>
      </c>
      <c r="C320" s="454" t="s">
        <v>36</v>
      </c>
      <c r="D320" s="454" t="s">
        <v>81</v>
      </c>
      <c r="E320" s="446">
        <v>120.8</v>
      </c>
      <c r="F320" s="421">
        <v>2.3530000000000002</v>
      </c>
      <c r="G320" s="347">
        <v>119</v>
      </c>
      <c r="H320" s="399">
        <v>1.4730000000000001</v>
      </c>
      <c r="I320" s="652">
        <v>117.98</v>
      </c>
      <c r="J320" s="797">
        <v>0.70199999999999996</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x14ac:dyDescent="0.25">
      <c r="B321" s="398">
        <f t="shared" si="46"/>
        <v>8</v>
      </c>
      <c r="C321" s="454" t="s">
        <v>37</v>
      </c>
      <c r="D321" s="454" t="s">
        <v>82</v>
      </c>
      <c r="E321" s="446">
        <v>46.5</v>
      </c>
      <c r="F321" s="446">
        <v>4.5999999999999996</v>
      </c>
      <c r="G321" s="347">
        <v>43.8</v>
      </c>
      <c r="H321" s="347">
        <v>2.355</v>
      </c>
      <c r="I321" s="652">
        <v>40.909999999999997</v>
      </c>
      <c r="J321" s="797">
        <v>0.80200000000000005</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x14ac:dyDescent="0.25">
      <c r="B322" s="398">
        <f t="shared" si="46"/>
        <v>9</v>
      </c>
      <c r="C322" s="454" t="s">
        <v>39</v>
      </c>
      <c r="D322" s="454" t="s">
        <v>82</v>
      </c>
      <c r="E322" s="446">
        <v>51.5</v>
      </c>
      <c r="F322" s="421">
        <v>2.4159999999999999</v>
      </c>
      <c r="G322" s="347">
        <v>47.84</v>
      </c>
      <c r="H322" s="347">
        <v>1.8160000000000001</v>
      </c>
      <c r="I322" s="653">
        <v>51.46</v>
      </c>
      <c r="J322" s="797">
        <v>2.5539999999999998</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x14ac:dyDescent="0.25">
      <c r="B323" s="398">
        <f t="shared" si="46"/>
        <v>10</v>
      </c>
      <c r="C323" s="454" t="s">
        <v>40</v>
      </c>
      <c r="D323" s="454" t="s">
        <v>80</v>
      </c>
      <c r="E323" s="446">
        <v>81</v>
      </c>
      <c r="F323" s="421">
        <v>1.093</v>
      </c>
      <c r="G323" s="347">
        <v>78.319999999999993</v>
      </c>
      <c r="H323" s="399">
        <v>0.65900000000000003</v>
      </c>
      <c r="I323" s="652">
        <v>75.02</v>
      </c>
      <c r="J323" s="797">
        <v>0.315</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x14ac:dyDescent="0.25">
      <c r="B324" s="398">
        <f t="shared" si="46"/>
        <v>11</v>
      </c>
      <c r="C324" s="454" t="s">
        <v>41</v>
      </c>
      <c r="D324" s="454" t="s">
        <v>80</v>
      </c>
      <c r="E324" s="446">
        <v>82.8</v>
      </c>
      <c r="F324" s="421">
        <v>0.42899999999999999</v>
      </c>
      <c r="G324" s="347">
        <v>80</v>
      </c>
      <c r="H324" s="399">
        <v>0.30299999999999999</v>
      </c>
      <c r="I324" s="652">
        <v>78</v>
      </c>
      <c r="J324" s="797">
        <v>0</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x14ac:dyDescent="0.25">
      <c r="B325" s="398">
        <f t="shared" si="46"/>
        <v>12</v>
      </c>
      <c r="C325" s="454" t="s">
        <v>42</v>
      </c>
      <c r="D325" s="454" t="s">
        <v>80</v>
      </c>
      <c r="E325" s="446">
        <v>69.95</v>
      </c>
      <c r="F325" s="421">
        <v>0.25</v>
      </c>
      <c r="G325" s="347">
        <v>70.150000000000006</v>
      </c>
      <c r="H325" s="347">
        <v>0.26400000000000001</v>
      </c>
      <c r="I325" s="652">
        <v>62.85</v>
      </c>
      <c r="J325" s="797">
        <v>0.13</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x14ac:dyDescent="0.25">
      <c r="B326" s="398">
        <f t="shared" si="46"/>
        <v>13</v>
      </c>
      <c r="C326" s="454" t="s">
        <v>43</v>
      </c>
      <c r="D326" s="454" t="s">
        <v>80</v>
      </c>
      <c r="E326" s="446">
        <v>48.2</v>
      </c>
      <c r="F326" s="421">
        <v>0.38500000000000001</v>
      </c>
      <c r="G326" s="347">
        <v>44.98</v>
      </c>
      <c r="H326" s="399">
        <v>6.8000000000000005E-2</v>
      </c>
      <c r="I326" s="652">
        <v>46.92</v>
      </c>
      <c r="J326" s="797">
        <v>0.39400000000000002</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x14ac:dyDescent="0.2">
      <c r="B327" s="398">
        <f t="shared" si="46"/>
        <v>14</v>
      </c>
      <c r="C327" s="454" t="s">
        <v>83</v>
      </c>
      <c r="D327" s="454" t="s">
        <v>44</v>
      </c>
      <c r="E327" s="446">
        <v>136</v>
      </c>
      <c r="F327" s="421">
        <v>440</v>
      </c>
      <c r="G327" s="347">
        <v>127.3</v>
      </c>
      <c r="H327" s="347">
        <v>64.974000000000004</v>
      </c>
      <c r="I327" s="594">
        <v>135.88</v>
      </c>
      <c r="J327" s="803">
        <v>359.65715693999999</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x14ac:dyDescent="0.2">
      <c r="B328" s="398">
        <v>15</v>
      </c>
      <c r="C328" s="454" t="s">
        <v>45</v>
      </c>
      <c r="D328" s="454" t="s">
        <v>44</v>
      </c>
      <c r="E328" s="446">
        <v>113.5</v>
      </c>
      <c r="F328" s="421">
        <v>3.7519999999999998</v>
      </c>
      <c r="G328" s="347">
        <v>109.1</v>
      </c>
      <c r="H328" s="347">
        <v>1.8080000000000001</v>
      </c>
      <c r="I328" s="599">
        <v>112.51</v>
      </c>
      <c r="J328" s="803">
        <v>0.41291908999999999</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x14ac:dyDescent="0.2">
      <c r="B329" s="398">
        <f t="shared" si="46"/>
        <v>16</v>
      </c>
      <c r="C329" s="454" t="s">
        <v>46</v>
      </c>
      <c r="D329" s="454" t="s">
        <v>44</v>
      </c>
      <c r="E329" s="446">
        <v>225.4</v>
      </c>
      <c r="F329" s="446">
        <v>1.2</v>
      </c>
      <c r="G329" s="347">
        <v>223.78</v>
      </c>
      <c r="H329" s="347">
        <v>0.14000000000000001</v>
      </c>
      <c r="I329" s="594">
        <v>202.56</v>
      </c>
      <c r="J329" s="803">
        <v>0.21230599999999999</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x14ac:dyDescent="0.2">
      <c r="B330" s="398">
        <f t="shared" si="46"/>
        <v>17</v>
      </c>
      <c r="C330" s="454" t="s">
        <v>47</v>
      </c>
      <c r="D330" s="454" t="s">
        <v>44</v>
      </c>
      <c r="E330" s="446">
        <v>224</v>
      </c>
      <c r="F330" s="421">
        <v>0.6</v>
      </c>
      <c r="G330" s="347">
        <v>219.53</v>
      </c>
      <c r="H330" s="347">
        <v>0.254</v>
      </c>
      <c r="I330" s="599">
        <v>223.73</v>
      </c>
      <c r="J330" s="804">
        <v>0.57299999999999995</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x14ac:dyDescent="0.2">
      <c r="B331" s="398">
        <f t="shared" si="46"/>
        <v>18</v>
      </c>
      <c r="C331" s="454" t="s">
        <v>48</v>
      </c>
      <c r="D331" s="454" t="s">
        <v>44</v>
      </c>
      <c r="E331" s="446">
        <v>196</v>
      </c>
      <c r="F331" s="421">
        <v>1.5820000000000001</v>
      </c>
      <c r="G331" s="347">
        <v>193.94</v>
      </c>
      <c r="H331" s="347">
        <v>1.242</v>
      </c>
      <c r="I331" s="599">
        <v>195</v>
      </c>
      <c r="J331" s="803">
        <v>0.33522000000000002</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x14ac:dyDescent="0.2">
      <c r="B332" s="398">
        <f t="shared" si="46"/>
        <v>19</v>
      </c>
      <c r="C332" s="454" t="s">
        <v>49</v>
      </c>
      <c r="D332" s="454" t="s">
        <v>44</v>
      </c>
      <c r="E332" s="446">
        <v>174</v>
      </c>
      <c r="F332" s="421">
        <v>0.47899999999999998</v>
      </c>
      <c r="G332" s="347">
        <v>172.72</v>
      </c>
      <c r="H332" s="347">
        <v>0.109</v>
      </c>
      <c r="I332" s="599">
        <v>170.52</v>
      </c>
      <c r="J332" s="803">
        <v>0.15937519999999999</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x14ac:dyDescent="0.2">
      <c r="B333" s="395">
        <f t="shared" si="46"/>
        <v>20</v>
      </c>
      <c r="C333" s="396" t="s">
        <v>50</v>
      </c>
      <c r="D333" s="396" t="s">
        <v>44</v>
      </c>
      <c r="E333" s="422">
        <v>229.1</v>
      </c>
      <c r="F333" s="449">
        <v>0.79200000000000004</v>
      </c>
      <c r="G333" s="346">
        <v>224.8</v>
      </c>
      <c r="H333" s="346">
        <v>0.41699999999999998</v>
      </c>
      <c r="I333" s="602">
        <v>225.93</v>
      </c>
      <c r="J333" s="805">
        <v>0.52197300000000002</v>
      </c>
      <c r="K333" s="518"/>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x14ac:dyDescent="0.2">
      <c r="B334" s="398">
        <f t="shared" si="46"/>
        <v>21</v>
      </c>
      <c r="C334" s="454" t="s">
        <v>51</v>
      </c>
      <c r="D334" s="454" t="s">
        <v>44</v>
      </c>
      <c r="E334" s="446">
        <v>249</v>
      </c>
      <c r="F334" s="421">
        <v>2.1240000000000001</v>
      </c>
      <c r="G334" s="347">
        <v>242.52</v>
      </c>
      <c r="H334" s="347">
        <v>0.53500000000000003</v>
      </c>
      <c r="I334" s="599">
        <v>243.18</v>
      </c>
      <c r="J334" s="804">
        <v>0.64654199999999995</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x14ac:dyDescent="0.2">
      <c r="B335" s="398">
        <f t="shared" si="46"/>
        <v>22</v>
      </c>
      <c r="C335" s="454" t="s">
        <v>52</v>
      </c>
      <c r="D335" s="454" t="s">
        <v>84</v>
      </c>
      <c r="E335" s="446">
        <v>164.75</v>
      </c>
      <c r="F335" s="446">
        <v>5</v>
      </c>
      <c r="G335" s="347">
        <v>157.51</v>
      </c>
      <c r="H335" s="347">
        <v>1.5089999999999999</v>
      </c>
      <c r="I335" s="594">
        <v>149.51</v>
      </c>
      <c r="J335" s="804">
        <v>3.1895257099999998</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x14ac:dyDescent="0.2">
      <c r="B336" s="398">
        <v>23</v>
      </c>
      <c r="C336" s="454" t="s">
        <v>53</v>
      </c>
      <c r="D336" s="454" t="s">
        <v>84</v>
      </c>
      <c r="E336" s="446">
        <v>179.1</v>
      </c>
      <c r="F336" s="421">
        <v>4.2</v>
      </c>
      <c r="G336" s="348">
        <v>173.03</v>
      </c>
      <c r="H336" s="348">
        <v>1.331</v>
      </c>
      <c r="I336" s="594">
        <v>231.35</v>
      </c>
      <c r="J336" s="803">
        <v>2.6827687999999998</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x14ac:dyDescent="0.2">
      <c r="B337" s="398">
        <f t="shared" si="46"/>
        <v>24</v>
      </c>
      <c r="C337" s="454" t="s">
        <v>54</v>
      </c>
      <c r="D337" s="454" t="s">
        <v>85</v>
      </c>
      <c r="E337" s="446">
        <v>325.56</v>
      </c>
      <c r="F337" s="421">
        <v>0.70099999999999996</v>
      </c>
      <c r="G337" s="348">
        <v>3231.3</v>
      </c>
      <c r="H337" s="348">
        <v>0.35499999999999998</v>
      </c>
      <c r="I337" s="599">
        <v>325.11</v>
      </c>
      <c r="J337" s="804">
        <v>0.65969080000000002</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x14ac:dyDescent="0.2">
      <c r="B338" s="398">
        <f t="shared" si="46"/>
        <v>25</v>
      </c>
      <c r="C338" s="454" t="s">
        <v>55</v>
      </c>
      <c r="D338" s="454" t="s">
        <v>85</v>
      </c>
      <c r="E338" s="446">
        <v>129.19999999999999</v>
      </c>
      <c r="F338" s="421">
        <v>0.5</v>
      </c>
      <c r="G338" s="347">
        <v>124.17</v>
      </c>
      <c r="H338" s="347">
        <v>5.6000000000000001E-2</v>
      </c>
      <c r="I338" s="599">
        <v>129.19999999999999</v>
      </c>
      <c r="J338" s="803">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x14ac:dyDescent="0.2">
      <c r="B339" s="398">
        <f t="shared" si="46"/>
        <v>26</v>
      </c>
      <c r="C339" s="454" t="s">
        <v>56</v>
      </c>
      <c r="D339" s="454" t="s">
        <v>85</v>
      </c>
      <c r="E339" s="446">
        <v>282.77999999999997</v>
      </c>
      <c r="F339" s="421">
        <v>0.51300000000000001</v>
      </c>
      <c r="G339" s="347">
        <v>279.55</v>
      </c>
      <c r="H339" s="347">
        <v>0.23400000000000001</v>
      </c>
      <c r="I339" s="594">
        <v>282.77999999999997</v>
      </c>
      <c r="J339" s="803">
        <v>0.57354000000000005</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x14ac:dyDescent="0.2">
      <c r="B340" s="398">
        <f t="shared" si="46"/>
        <v>27</v>
      </c>
      <c r="C340" s="454" t="s">
        <v>57</v>
      </c>
      <c r="D340" s="454" t="s">
        <v>85</v>
      </c>
      <c r="E340" s="446">
        <v>99</v>
      </c>
      <c r="F340" s="421">
        <v>2.6110000000000002</v>
      </c>
      <c r="G340" s="347">
        <v>93.49</v>
      </c>
      <c r="H340" s="347">
        <v>0.46899999999999997</v>
      </c>
      <c r="I340" s="599">
        <v>98.88</v>
      </c>
      <c r="J340" s="804">
        <v>0.97362883899999997</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x14ac:dyDescent="0.2">
      <c r="B341" s="398">
        <f t="shared" si="46"/>
        <v>28</v>
      </c>
      <c r="C341" s="454" t="s">
        <v>58</v>
      </c>
      <c r="D341" s="454" t="s">
        <v>85</v>
      </c>
      <c r="E341" s="446">
        <v>189.7</v>
      </c>
      <c r="F341" s="446">
        <v>7.9000000000000001E-2</v>
      </c>
      <c r="G341" s="347">
        <v>188.8</v>
      </c>
      <c r="H341" s="347">
        <v>5.0999999999999997E-2</v>
      </c>
      <c r="I341" s="599">
        <v>189.42</v>
      </c>
      <c r="J341" s="804">
        <v>7.3871999999999993E-2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x14ac:dyDescent="0.2">
      <c r="B342" s="398">
        <f t="shared" si="46"/>
        <v>29</v>
      </c>
      <c r="C342" s="454" t="s">
        <v>59</v>
      </c>
      <c r="D342" s="454" t="s">
        <v>85</v>
      </c>
      <c r="E342" s="446">
        <v>171.19</v>
      </c>
      <c r="F342" s="421">
        <v>9.6879999999999994E-2</v>
      </c>
      <c r="G342" s="347">
        <v>170</v>
      </c>
      <c r="H342" s="399">
        <v>7.2999999999999995E-2</v>
      </c>
      <c r="I342" s="599">
        <v>171.32</v>
      </c>
      <c r="J342" s="804">
        <v>0.10002900000000001</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x14ac:dyDescent="0.2">
      <c r="B343" s="398">
        <f t="shared" si="46"/>
        <v>30</v>
      </c>
      <c r="C343" s="454" t="s">
        <v>60</v>
      </c>
      <c r="D343" s="454" t="s">
        <v>86</v>
      </c>
      <c r="E343" s="446">
        <v>142.6</v>
      </c>
      <c r="F343" s="421">
        <v>9.157</v>
      </c>
      <c r="G343" s="347">
        <v>140.19999999999999</v>
      </c>
      <c r="H343" s="347"/>
      <c r="I343" s="594">
        <v>153.16999999999999</v>
      </c>
      <c r="J343" s="806">
        <v>9.5370364500000004</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x14ac:dyDescent="0.2">
      <c r="B344" s="398">
        <f t="shared" si="46"/>
        <v>31</v>
      </c>
      <c r="C344" s="454" t="s">
        <v>61</v>
      </c>
      <c r="D344" s="454" t="s">
        <v>86</v>
      </c>
      <c r="E344" s="446">
        <v>239.5</v>
      </c>
      <c r="F344" s="421">
        <v>2.6720000000000002</v>
      </c>
      <c r="G344" s="347">
        <v>236.02</v>
      </c>
      <c r="H344" s="399">
        <v>0.98199999999999998</v>
      </c>
      <c r="I344" s="594">
        <v>238.48</v>
      </c>
      <c r="J344" s="806">
        <v>2.1587999999999998</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x14ac:dyDescent="0.2">
      <c r="B345" s="398">
        <f t="shared" si="46"/>
        <v>32</v>
      </c>
      <c r="C345" s="454" t="s">
        <v>62</v>
      </c>
      <c r="D345" s="454" t="s">
        <v>87</v>
      </c>
      <c r="E345" s="446">
        <v>120.5</v>
      </c>
      <c r="F345" s="421">
        <v>3.677</v>
      </c>
      <c r="G345" s="347">
        <v>118.55</v>
      </c>
      <c r="H345" s="347">
        <v>0.59499999999999997</v>
      </c>
      <c r="I345" s="594">
        <v>120.72</v>
      </c>
      <c r="J345" s="803">
        <v>4.0973059999999997</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x14ac:dyDescent="0.2">
      <c r="B346" s="398">
        <f t="shared" si="46"/>
        <v>33</v>
      </c>
      <c r="C346" s="454" t="s">
        <v>63</v>
      </c>
      <c r="D346" s="454" t="s">
        <v>88</v>
      </c>
      <c r="E346" s="446">
        <v>110.56</v>
      </c>
      <c r="F346" s="421">
        <v>2.75</v>
      </c>
      <c r="G346" s="347">
        <v>108.56</v>
      </c>
      <c r="H346" s="347">
        <v>0.745</v>
      </c>
      <c r="I346" s="594">
        <v>110.56</v>
      </c>
      <c r="J346" s="803">
        <v>2.75</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x14ac:dyDescent="0.2">
      <c r="B347" s="398">
        <v>34</v>
      </c>
      <c r="C347" s="454" t="s">
        <v>64</v>
      </c>
      <c r="D347" s="454" t="s">
        <v>89</v>
      </c>
      <c r="E347" s="446">
        <v>72</v>
      </c>
      <c r="F347" s="421">
        <v>38.036000000000001</v>
      </c>
      <c r="G347" s="347">
        <v>50.3</v>
      </c>
      <c r="H347" s="399">
        <v>4.0830000000000002</v>
      </c>
      <c r="I347" s="347">
        <v>69.459999999999994</v>
      </c>
      <c r="J347" s="811">
        <v>32.033000000000001</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x14ac:dyDescent="0.2">
      <c r="B348" s="398">
        <f t="shared" si="46"/>
        <v>35</v>
      </c>
      <c r="C348" s="454" t="s">
        <v>65</v>
      </c>
      <c r="D348" s="454" t="s">
        <v>89</v>
      </c>
      <c r="E348" s="446">
        <v>185</v>
      </c>
      <c r="F348" s="421">
        <v>388.72199999999998</v>
      </c>
      <c r="G348" s="347">
        <v>166</v>
      </c>
      <c r="H348" s="399">
        <v>208.49199999999999</v>
      </c>
      <c r="I348" s="347">
        <v>173.17</v>
      </c>
      <c r="J348" s="811">
        <v>272.959</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x14ac:dyDescent="0.2">
      <c r="B349" s="398">
        <v>38</v>
      </c>
      <c r="C349" s="454" t="s">
        <v>66</v>
      </c>
      <c r="D349" s="454" t="s">
        <v>90</v>
      </c>
      <c r="E349" s="446">
        <v>231</v>
      </c>
      <c r="F349" s="421">
        <v>30.48</v>
      </c>
      <c r="G349" s="347">
        <v>228.1</v>
      </c>
      <c r="H349" s="399">
        <v>5.9</v>
      </c>
      <c r="I349" s="347">
        <v>228.85</v>
      </c>
      <c r="J349" s="822">
        <v>6.4829999999999997</v>
      </c>
      <c r="K349" s="418" t="s">
        <v>207</v>
      </c>
      <c r="L349" s="519"/>
      <c r="M349" s="520"/>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x14ac:dyDescent="0.2">
      <c r="B350" s="395">
        <v>39</v>
      </c>
      <c r="C350" s="396" t="s">
        <v>230</v>
      </c>
      <c r="D350" s="396" t="s">
        <v>78</v>
      </c>
      <c r="E350" s="422">
        <v>149.30000000000001</v>
      </c>
      <c r="F350" s="449">
        <v>17.670000000000002</v>
      </c>
      <c r="G350" s="422">
        <v>149.30000000000001</v>
      </c>
      <c r="H350" s="449">
        <v>17.670000000000002</v>
      </c>
      <c r="I350" s="422">
        <v>149.47300000000001</v>
      </c>
      <c r="J350" s="814">
        <v>11.1</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x14ac:dyDescent="0.25">
      <c r="B351" s="398">
        <f>+B350+1</f>
        <v>40</v>
      </c>
      <c r="C351" s="454" t="s">
        <v>231</v>
      </c>
      <c r="D351" s="454" t="s">
        <v>82</v>
      </c>
      <c r="E351" s="446">
        <v>39</v>
      </c>
      <c r="F351" s="421">
        <v>0.47399999999999998</v>
      </c>
      <c r="G351" s="446">
        <v>39</v>
      </c>
      <c r="H351" s="421">
        <v>0.47</v>
      </c>
      <c r="I351" s="652">
        <v>39.01</v>
      </c>
      <c r="J351" s="816">
        <v>0.47099999999999997</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x14ac:dyDescent="0.3">
      <c r="B352" s="400">
        <v>41</v>
      </c>
      <c r="C352" s="401" t="s">
        <v>232</v>
      </c>
      <c r="D352" s="401" t="s">
        <v>82</v>
      </c>
      <c r="E352" s="460">
        <v>70</v>
      </c>
      <c r="F352" s="423">
        <v>0.81699999999999995</v>
      </c>
      <c r="G352" s="460">
        <v>70</v>
      </c>
      <c r="H352" s="423">
        <v>0.82</v>
      </c>
      <c r="I352" s="652">
        <v>70</v>
      </c>
      <c r="J352" s="816">
        <v>0.74399999999999999</v>
      </c>
      <c r="K352" s="397"/>
      <c r="L352" s="708"/>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x14ac:dyDescent="0.25">
      <c r="B353" s="393"/>
      <c r="C353" s="394" t="s">
        <v>67</v>
      </c>
      <c r="D353" s="394"/>
      <c r="E353" s="424"/>
      <c r="F353" s="425">
        <f>SUM(F312:F352)</f>
        <v>1813.882478</v>
      </c>
      <c r="G353" s="424"/>
      <c r="H353" s="425">
        <f>SUM(H315:H352)</f>
        <v>846.15100000000018</v>
      </c>
      <c r="I353" s="426"/>
      <c r="J353" s="374">
        <f>SUM(J312:J352)</f>
        <v>1323.8622238935857</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x14ac:dyDescent="0.25">
      <c r="B354" s="403" t="s">
        <v>68</v>
      </c>
      <c r="C354" s="453" t="s">
        <v>69</v>
      </c>
      <c r="D354" s="453"/>
      <c r="E354" s="427"/>
      <c r="F354" s="428"/>
      <c r="G354" s="429"/>
      <c r="H354" s="430">
        <v>1</v>
      </c>
      <c r="I354" s="431"/>
      <c r="J354" s="357">
        <f>IFERROR(+J353/H353,0)</f>
        <v>1.5645697090632587</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x14ac:dyDescent="0.25">
      <c r="B355" s="406"/>
      <c r="C355" s="407" t="s">
        <v>234</v>
      </c>
      <c r="D355" s="408"/>
      <c r="E355" s="451">
        <v>1736.79</v>
      </c>
      <c r="F355" s="432">
        <v>1</v>
      </c>
      <c r="G355" s="433" t="s">
        <v>68</v>
      </c>
      <c r="H355" s="432">
        <f>+H353/F353*100%</f>
        <v>0.46648612038690201</v>
      </c>
      <c r="I355" s="434"/>
      <c r="J355" s="358">
        <f>+J353/F353</f>
        <v>0.72985005365578359</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x14ac:dyDescent="0.25">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x14ac:dyDescent="0.2">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x14ac:dyDescent="0.2">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x14ac:dyDescent="0.2">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x14ac:dyDescent="0.2">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x14ac:dyDescent="0.2">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x14ac:dyDescent="0.2">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x14ac:dyDescent="0.2">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x14ac:dyDescent="0.2">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x14ac:dyDescent="0.2">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x14ac:dyDescent="0.2">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x14ac:dyDescent="0.2">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x14ac:dyDescent="0.2">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x14ac:dyDescent="0.2">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x14ac:dyDescent="0.2">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x14ac:dyDescent="0.2">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x14ac:dyDescent="0.2">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x14ac:dyDescent="0.2">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x14ac:dyDescent="0.2">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x14ac:dyDescent="0.2">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x14ac:dyDescent="0.2">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x14ac:dyDescent="0.2">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x14ac:dyDescent="0.2">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x14ac:dyDescent="0.2">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x14ac:dyDescent="0.2">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x14ac:dyDescent="0.2">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x14ac:dyDescent="0.2">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x14ac:dyDescent="0.2">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x14ac:dyDescent="0.2">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x14ac:dyDescent="0.2">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x14ac:dyDescent="0.2">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x14ac:dyDescent="0.2">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x14ac:dyDescent="0.2">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x14ac:dyDescent="0.2">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x14ac:dyDescent="0.2">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x14ac:dyDescent="0.2">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x14ac:dyDescent="0.2">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x14ac:dyDescent="0.2">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x14ac:dyDescent="0.2">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x14ac:dyDescent="0.2">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x14ac:dyDescent="0.2">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x14ac:dyDescent="0.2">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x14ac:dyDescent="0.2">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x14ac:dyDescent="0.2">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x14ac:dyDescent="0.2">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x14ac:dyDescent="0.2">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x14ac:dyDescent="0.2">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x14ac:dyDescent="0.2">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x14ac:dyDescent="0.2">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x14ac:dyDescent="0.2">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x14ac:dyDescent="0.2">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x14ac:dyDescent="0.2">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x14ac:dyDescent="0.2">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x14ac:dyDescent="0.2">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x14ac:dyDescent="0.2">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x14ac:dyDescent="0.2">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x14ac:dyDescent="0.2">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x14ac:dyDescent="0.2">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x14ac:dyDescent="0.2">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x14ac:dyDescent="0.2">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x14ac:dyDescent="0.2">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x14ac:dyDescent="0.2">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x14ac:dyDescent="0.2">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x14ac:dyDescent="0.2">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x14ac:dyDescent="0.2">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x14ac:dyDescent="0.2">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x14ac:dyDescent="0.2">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x14ac:dyDescent="0.2">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x14ac:dyDescent="0.2">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x14ac:dyDescent="0.2">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x14ac:dyDescent="0.2">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x14ac:dyDescent="0.2">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x14ac:dyDescent="0.2">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x14ac:dyDescent="0.2">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x14ac:dyDescent="0.2">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x14ac:dyDescent="0.2">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x14ac:dyDescent="0.2">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x14ac:dyDescent="0.2">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x14ac:dyDescent="0.2">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x14ac:dyDescent="0.2">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x14ac:dyDescent="0.2">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x14ac:dyDescent="0.2">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x14ac:dyDescent="0.2">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x14ac:dyDescent="0.2">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x14ac:dyDescent="0.2">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x14ac:dyDescent="0.2">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x14ac:dyDescent="0.2">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x14ac:dyDescent="0.2">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x14ac:dyDescent="0.2">
      <c r="J444" s="355"/>
      <c r="K444" s="355"/>
      <c r="M444" s="226"/>
      <c r="AB444"/>
      <c r="AC444"/>
      <c r="AD444"/>
      <c r="AE444"/>
      <c r="AF444"/>
      <c r="AG444"/>
      <c r="AH444"/>
      <c r="AI444"/>
      <c r="AJ444"/>
      <c r="AK444"/>
      <c r="AL444"/>
      <c r="AM444"/>
      <c r="AN444"/>
      <c r="AO444"/>
      <c r="AP444"/>
      <c r="AQ444"/>
      <c r="AR444">
        <f t="shared" si="54"/>
        <v>0</v>
      </c>
      <c r="AS444">
        <f t="shared" si="53"/>
        <v>-2.69258</v>
      </c>
      <c r="AT444"/>
      <c r="AU444"/>
      <c r="AV444"/>
      <c r="AW444"/>
      <c r="AX444"/>
      <c r="AY444"/>
      <c r="AZ444"/>
      <c r="BA444"/>
      <c r="BB444"/>
      <c r="BC444"/>
      <c r="BD444"/>
      <c r="BE444"/>
    </row>
    <row r="445" spans="10:57" ht="27" customHeight="1" x14ac:dyDescent="0.2">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x14ac:dyDescent="0.2">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x14ac:dyDescent="0.2">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x14ac:dyDescent="0.2">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x14ac:dyDescent="0.2">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x14ac:dyDescent="0.2">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x14ac:dyDescent="0.2">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x14ac:dyDescent="0.2">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x14ac:dyDescent="0.2">
      <c r="M453" s="226"/>
    </row>
    <row r="454" spans="13:57" ht="27" customHeight="1" x14ac:dyDescent="0.2">
      <c r="M454" s="226"/>
    </row>
    <row r="455" spans="13:57" ht="27" customHeight="1" x14ac:dyDescent="0.2">
      <c r="M455" s="226"/>
    </row>
    <row r="456" spans="13:57" ht="27" customHeight="1" x14ac:dyDescent="0.2">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19685039370078741" right="0.19685039370078741" top="0" bottom="7.874015748031496E-2" header="0" footer="0"/>
  <pageSetup paperSize="9" scale="55"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9"/>
  <sheetViews>
    <sheetView showGridLines="0" tabSelected="1" zoomScale="85" zoomScaleNormal="85" workbookViewId="0">
      <selection activeCell="N9" sqref="N9"/>
    </sheetView>
  </sheetViews>
  <sheetFormatPr defaultRowHeight="12.75" x14ac:dyDescent="0.2"/>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865" t="s">
        <v>158</v>
      </c>
      <c r="C2" s="865"/>
      <c r="D2" s="865"/>
      <c r="E2" s="865"/>
      <c r="F2" s="865"/>
      <c r="G2" s="865"/>
      <c r="H2" s="865"/>
      <c r="I2" s="865"/>
      <c r="J2" s="865"/>
      <c r="K2" s="184"/>
    </row>
    <row r="3" spans="2:12" x14ac:dyDescent="0.2">
      <c r="B3" s="865" t="s">
        <v>272</v>
      </c>
      <c r="C3" s="865"/>
      <c r="D3" s="865"/>
      <c r="E3" s="865"/>
      <c r="F3" s="865"/>
      <c r="G3" s="865"/>
      <c r="H3" s="865"/>
      <c r="I3" s="865"/>
      <c r="J3" s="865"/>
      <c r="K3" s="184"/>
    </row>
    <row r="4" spans="2:12" x14ac:dyDescent="0.2">
      <c r="B4" s="866" t="str">
        <f>+UTAMA!B4</f>
        <v xml:space="preserve">MINGGU KE  II MEI  ( 5 MEI S/D 11 MEI 2020) dalam Juta m3  </v>
      </c>
      <c r="C4" s="866"/>
      <c r="D4" s="866"/>
      <c r="E4" s="866"/>
      <c r="F4" s="866"/>
      <c r="G4" s="866"/>
      <c r="H4" s="866"/>
      <c r="I4" s="866"/>
      <c r="J4" s="866"/>
      <c r="K4" s="185"/>
    </row>
    <row r="5" spans="2:12" ht="13.5" thickBot="1" x14ac:dyDescent="0.25">
      <c r="B5" s="177"/>
      <c r="C5" s="177"/>
      <c r="D5" s="177"/>
      <c r="E5" s="177"/>
      <c r="F5" s="177"/>
      <c r="G5" s="177"/>
      <c r="H5" s="177"/>
      <c r="I5" s="177"/>
      <c r="J5" s="177"/>
      <c r="K5" s="177"/>
    </row>
    <row r="6" spans="2:12" ht="14.25" x14ac:dyDescent="0.2">
      <c r="B6" s="871" t="s">
        <v>18</v>
      </c>
      <c r="C6" s="869" t="s">
        <v>19</v>
      </c>
      <c r="D6" s="867" t="s">
        <v>94</v>
      </c>
      <c r="E6" s="249" t="s">
        <v>25</v>
      </c>
      <c r="F6" s="875" t="s">
        <v>95</v>
      </c>
      <c r="G6" s="876"/>
      <c r="H6" s="873" t="s">
        <v>159</v>
      </c>
      <c r="I6" s="874"/>
      <c r="J6" s="245" t="s">
        <v>69</v>
      </c>
      <c r="K6" s="247" t="s">
        <v>127</v>
      </c>
    </row>
    <row r="7" spans="2:12" x14ac:dyDescent="0.2">
      <c r="B7" s="872"/>
      <c r="C7" s="870"/>
      <c r="D7" s="868"/>
      <c r="E7" s="250" t="s">
        <v>153</v>
      </c>
      <c r="F7" s="196" t="s">
        <v>96</v>
      </c>
      <c r="G7" s="196" t="s">
        <v>22</v>
      </c>
      <c r="H7" s="197" t="s">
        <v>96</v>
      </c>
      <c r="I7" s="197" t="s">
        <v>22</v>
      </c>
      <c r="J7" s="246" t="s">
        <v>22</v>
      </c>
      <c r="K7" s="248" t="s">
        <v>128</v>
      </c>
    </row>
    <row r="8" spans="2:12" x14ac:dyDescent="0.2">
      <c r="B8" s="186">
        <v>1</v>
      </c>
      <c r="C8" s="198">
        <v>2</v>
      </c>
      <c r="D8" s="198">
        <v>3</v>
      </c>
      <c r="E8" s="198">
        <v>4</v>
      </c>
      <c r="F8" s="198">
        <v>5</v>
      </c>
      <c r="G8" s="198">
        <v>6</v>
      </c>
      <c r="H8" s="198">
        <v>7</v>
      </c>
      <c r="I8" s="198">
        <v>8</v>
      </c>
      <c r="J8" s="198">
        <v>9</v>
      </c>
      <c r="K8" s="199">
        <v>10</v>
      </c>
    </row>
    <row r="9" spans="2:12" ht="15" customHeight="1" x14ac:dyDescent="0.2">
      <c r="B9" s="186">
        <v>1</v>
      </c>
      <c r="C9" s="187" t="s">
        <v>28</v>
      </c>
      <c r="D9" s="200">
        <v>35162</v>
      </c>
      <c r="E9" s="182">
        <v>31.144597999999998</v>
      </c>
      <c r="F9" s="201">
        <f>+UTAMA!G11</f>
        <v>55.56</v>
      </c>
      <c r="G9" s="182">
        <f>+UTAMA!I11</f>
        <v>55.61</v>
      </c>
      <c r="H9" s="183">
        <f>+UTAMA!H11</f>
        <v>29.92764</v>
      </c>
      <c r="I9" s="183">
        <f>+UTAMA!J11</f>
        <v>30.20984</v>
      </c>
      <c r="J9" s="202">
        <f>IFERROR(+I9/H9*100%*100,0)</f>
        <v>100.94294104045625</v>
      </c>
      <c r="K9" s="203"/>
    </row>
    <row r="10" spans="2:12" ht="15" customHeight="1" x14ac:dyDescent="0.2">
      <c r="B10" s="186">
        <f t="shared" ref="B10:B16" si="0">+B9+1</f>
        <v>2</v>
      </c>
      <c r="C10" s="187" t="s">
        <v>30</v>
      </c>
      <c r="D10" s="200">
        <v>17481</v>
      </c>
      <c r="E10" s="182">
        <v>49.02</v>
      </c>
      <c r="F10" s="178">
        <f>+UTAMA!G13</f>
        <v>75.94</v>
      </c>
      <c r="G10" s="179">
        <f>+UTAMA!I13</f>
        <v>77.099999999999994</v>
      </c>
      <c r="H10" s="180">
        <f>+UTAMA!H13</f>
        <v>39.431297000000001</v>
      </c>
      <c r="I10" s="181">
        <f>+UTAMA!J13</f>
        <v>46.448554999999999</v>
      </c>
      <c r="J10" s="202">
        <f>IFERROR(+I10/H10*100%*100,0)</f>
        <v>117.79616328623428</v>
      </c>
      <c r="K10" s="203"/>
    </row>
    <row r="11" spans="2:12" ht="15" customHeight="1" x14ac:dyDescent="0.2">
      <c r="B11" s="186">
        <f t="shared" si="0"/>
        <v>3</v>
      </c>
      <c r="C11" s="187" t="s">
        <v>31</v>
      </c>
      <c r="D11" s="200">
        <v>19972</v>
      </c>
      <c r="E11" s="182">
        <v>49.9</v>
      </c>
      <c r="F11" s="178">
        <f>+UTAMA!G14</f>
        <v>462.85</v>
      </c>
      <c r="G11" s="179">
        <f>+UTAMA!I14</f>
        <v>463</v>
      </c>
      <c r="H11" s="180">
        <f>+UTAMA!H14</f>
        <v>44.911000000000001</v>
      </c>
      <c r="I11" s="181">
        <f>+UTAMA!J14</f>
        <v>48.21</v>
      </c>
      <c r="J11" s="202">
        <f t="shared" ref="J11:J17" si="1">IFERROR(+I11/H11*100%*100,0)</f>
        <v>107.34563915299147</v>
      </c>
      <c r="K11" s="203"/>
      <c r="L11" s="545"/>
    </row>
    <row r="12" spans="2:12" ht="15" customHeight="1" x14ac:dyDescent="0.2">
      <c r="B12" s="186">
        <f t="shared" si="0"/>
        <v>4</v>
      </c>
      <c r="C12" s="187" t="s">
        <v>34</v>
      </c>
      <c r="D12" s="200">
        <v>59544</v>
      </c>
      <c r="E12" s="182">
        <v>689.09</v>
      </c>
      <c r="F12" s="178">
        <f>+UTAMA!G17</f>
        <v>88.24</v>
      </c>
      <c r="G12" s="182">
        <f>+UTAMA!I17</f>
        <v>85.03</v>
      </c>
      <c r="H12" s="180">
        <f>+UTAMA!H17</f>
        <v>601.56600000000003</v>
      </c>
      <c r="I12" s="180">
        <f>UTAMA!J17</f>
        <v>461.88152977056512</v>
      </c>
      <c r="J12" s="202">
        <f>IFERROR(+I12/H12*100%*100,0)</f>
        <v>76.779859528391754</v>
      </c>
      <c r="K12" s="204"/>
    </row>
    <row r="13" spans="2:12" ht="15" customHeight="1" x14ac:dyDescent="0.2">
      <c r="B13" s="186">
        <f t="shared" si="0"/>
        <v>5</v>
      </c>
      <c r="C13" s="187" t="s">
        <v>44</v>
      </c>
      <c r="D13" s="200">
        <v>28109</v>
      </c>
      <c r="E13" s="182">
        <v>440</v>
      </c>
      <c r="F13" s="178">
        <f>+UTAMA!G26</f>
        <v>138.78</v>
      </c>
      <c r="G13" s="179">
        <f>+UTAMA!I26</f>
        <v>135.88999999999999</v>
      </c>
      <c r="H13" s="183">
        <f>+UTAMA!H26</f>
        <v>354.25700000000001</v>
      </c>
      <c r="I13" s="183">
        <f>+UTAMA!J26</f>
        <v>360.19709461399998</v>
      </c>
      <c r="J13" s="202">
        <f t="shared" si="1"/>
        <v>101.67677550874082</v>
      </c>
      <c r="K13" s="204"/>
    </row>
    <row r="14" spans="2:12" ht="15" customHeight="1" x14ac:dyDescent="0.2">
      <c r="B14" s="186">
        <f t="shared" si="0"/>
        <v>6</v>
      </c>
      <c r="C14" s="187" t="s">
        <v>64</v>
      </c>
      <c r="D14" s="200">
        <v>6485</v>
      </c>
      <c r="E14" s="182">
        <v>38.036000000000001</v>
      </c>
      <c r="F14" s="178">
        <f>+UTAMA!G46</f>
        <v>67</v>
      </c>
      <c r="G14" s="179">
        <f>+UTAMA!I46</f>
        <v>70.099999999999994</v>
      </c>
      <c r="H14" s="180">
        <f>+UTAMA!H46</f>
        <v>26.411000000000001</v>
      </c>
      <c r="I14" s="181">
        <f>+UTAMA!J46</f>
        <v>33.387</v>
      </c>
      <c r="J14" s="202">
        <f t="shared" si="1"/>
        <v>126.41323690886372</v>
      </c>
      <c r="K14" s="204"/>
    </row>
    <row r="15" spans="2:12" ht="15" customHeight="1" x14ac:dyDescent="0.2">
      <c r="B15" s="186">
        <f t="shared" si="0"/>
        <v>7</v>
      </c>
      <c r="C15" s="187" t="s">
        <v>65</v>
      </c>
      <c r="D15" s="200">
        <v>31109</v>
      </c>
      <c r="E15" s="182">
        <v>388.72199999999998</v>
      </c>
      <c r="F15" s="178">
        <f>+UTAMA!G47</f>
        <v>175.5</v>
      </c>
      <c r="G15" s="179">
        <f>+UTAMA!I47</f>
        <v>174.4</v>
      </c>
      <c r="H15" s="180">
        <f>+UTAMA!H47</f>
        <v>294.71899999999999</v>
      </c>
      <c r="I15" s="181">
        <f>+UTAMA!J47</f>
        <v>284.452</v>
      </c>
      <c r="J15" s="202">
        <f t="shared" si="1"/>
        <v>96.516342685744732</v>
      </c>
      <c r="K15" s="204"/>
    </row>
    <row r="16" spans="2:12" ht="15" customHeight="1" x14ac:dyDescent="0.2">
      <c r="B16" s="186">
        <f t="shared" si="0"/>
        <v>8</v>
      </c>
      <c r="C16" s="187" t="s">
        <v>66</v>
      </c>
      <c r="D16" s="200">
        <v>8400</v>
      </c>
      <c r="E16" s="182">
        <v>23.24</v>
      </c>
      <c r="F16" s="178">
        <f>+UTAMA!G48</f>
        <v>228.77</v>
      </c>
      <c r="G16" s="179">
        <f>+UTAMA!I48</f>
        <v>229.84</v>
      </c>
      <c r="H16" s="180">
        <f>+UTAMA!H48</f>
        <v>6.1959999999999997</v>
      </c>
      <c r="I16" s="181">
        <f>+UTAMA!J48</f>
        <v>11.25</v>
      </c>
      <c r="J16" s="202">
        <f t="shared" si="1"/>
        <v>181.5687540348612</v>
      </c>
      <c r="K16" s="204"/>
      <c r="L16" s="545"/>
    </row>
    <row r="17" spans="2:11" ht="15" customHeight="1" x14ac:dyDescent="0.2">
      <c r="B17" s="455">
        <v>9</v>
      </c>
      <c r="C17" s="187" t="s">
        <v>236</v>
      </c>
      <c r="D17" s="200">
        <v>0</v>
      </c>
      <c r="E17" s="658">
        <v>17.670000000000002</v>
      </c>
      <c r="F17" s="659">
        <v>149.30000000000001</v>
      </c>
      <c r="G17" s="179">
        <f>+UTAMA!I49</f>
        <v>149.505</v>
      </c>
      <c r="H17" s="180">
        <f>+UTAMA!H49</f>
        <v>10.92</v>
      </c>
      <c r="I17" s="181">
        <f>+UTAMA!J49</f>
        <v>11.13</v>
      </c>
      <c r="J17" s="202">
        <f t="shared" si="1"/>
        <v>101.92307692307693</v>
      </c>
      <c r="K17" s="204"/>
    </row>
    <row r="18" spans="2:11" ht="15" customHeight="1" thickBot="1" x14ac:dyDescent="0.25">
      <c r="B18" s="624"/>
      <c r="C18" s="625" t="s">
        <v>91</v>
      </c>
      <c r="D18" s="626">
        <f>SUM(D9:D16)</f>
        <v>206262</v>
      </c>
      <c r="E18" s="660">
        <f>SUM(E9:E17)</f>
        <v>1726.8225980000002</v>
      </c>
      <c r="F18" s="661"/>
      <c r="G18" s="626"/>
      <c r="H18" s="627">
        <f>SUM(H9:H17)</f>
        <v>1408.3389370000002</v>
      </c>
      <c r="I18" s="627">
        <f>SUM(I9:I17)</f>
        <v>1287.1660193845653</v>
      </c>
      <c r="J18" s="662">
        <f>I18/H18*100</f>
        <v>91.39604008438809</v>
      </c>
      <c r="K18" s="628"/>
    </row>
    <row r="19" spans="2:11" ht="15" customHeight="1" thickBot="1" x14ac:dyDescent="0.25">
      <c r="B19" s="629"/>
      <c r="C19" s="630" t="s">
        <v>69</v>
      </c>
      <c r="D19" s="630"/>
      <c r="E19" s="631"/>
      <c r="F19" s="632"/>
      <c r="G19" s="633"/>
      <c r="H19" s="634" t="s">
        <v>97</v>
      </c>
      <c r="I19" s="635">
        <f>+I18/H18*100%</f>
        <v>0.91396040084388086</v>
      </c>
      <c r="J19" s="635"/>
      <c r="K19" s="636"/>
    </row>
    <row r="20" spans="2:11" x14ac:dyDescent="0.2">
      <c r="B20" s="177"/>
      <c r="C20" s="188" t="s">
        <v>92</v>
      </c>
      <c r="D20" s="188"/>
      <c r="E20" s="188"/>
      <c r="F20" s="177"/>
      <c r="G20" s="177"/>
      <c r="H20" s="177"/>
      <c r="I20" s="177"/>
      <c r="J20" s="177"/>
      <c r="K20" s="177"/>
    </row>
    <row r="21" spans="2:11" ht="15" customHeight="1" x14ac:dyDescent="0.2">
      <c r="B21" s="177"/>
      <c r="C21" s="177" t="s">
        <v>93</v>
      </c>
      <c r="D21" s="177"/>
      <c r="E21" s="177"/>
      <c r="F21" s="177"/>
      <c r="G21" s="177"/>
      <c r="H21" s="177"/>
      <c r="I21" s="177"/>
      <c r="J21" s="177" t="s">
        <v>98</v>
      </c>
      <c r="K21" s="177"/>
    </row>
    <row r="22" spans="2:11" ht="15" customHeight="1" x14ac:dyDescent="0.2">
      <c r="B22" s="177"/>
      <c r="C22" s="177" t="s">
        <v>99</v>
      </c>
      <c r="D22" s="189" t="s">
        <v>100</v>
      </c>
      <c r="E22" s="189"/>
      <c r="F22" s="177" t="s">
        <v>101</v>
      </c>
      <c r="G22" s="177"/>
      <c r="H22" s="177"/>
      <c r="I22" s="251" t="s">
        <v>192</v>
      </c>
      <c r="J22" s="345">
        <f>COUNTIF(J9:J17,"&gt;100")</f>
        <v>7</v>
      </c>
      <c r="K22" s="185"/>
    </row>
    <row r="23" spans="2:11" ht="15" customHeight="1" x14ac:dyDescent="0.2">
      <c r="B23" s="177"/>
      <c r="C23" s="177" t="s">
        <v>102</v>
      </c>
      <c r="D23" s="189" t="s">
        <v>100</v>
      </c>
      <c r="E23" s="189"/>
      <c r="F23" s="177" t="s">
        <v>103</v>
      </c>
      <c r="G23" s="177"/>
      <c r="H23" s="177"/>
      <c r="I23" s="251" t="s">
        <v>192</v>
      </c>
      <c r="J23" s="344">
        <f>COUNTIFS(J9:J17,"&gt;=85",J9:J17,"&lt;=100")</f>
        <v>1</v>
      </c>
      <c r="K23" s="185"/>
    </row>
    <row r="24" spans="2:11" ht="15" customHeight="1" x14ac:dyDescent="0.2">
      <c r="B24" s="177"/>
      <c r="C24" s="177" t="s">
        <v>104</v>
      </c>
      <c r="D24" s="189" t="s">
        <v>100</v>
      </c>
      <c r="E24" s="189"/>
      <c r="F24" s="177" t="s">
        <v>105</v>
      </c>
      <c r="G24" s="177"/>
      <c r="H24" s="177"/>
      <c r="I24" s="251" t="s">
        <v>192</v>
      </c>
      <c r="J24" s="343">
        <f>COUNTIFS(J9:J17,"&gt;0",J9:J17,"&lt;85")</f>
        <v>1</v>
      </c>
      <c r="K24" s="185"/>
    </row>
    <row r="25" spans="2:11" ht="15" customHeight="1" thickBot="1" x14ac:dyDescent="0.25">
      <c r="B25" s="177"/>
      <c r="C25" s="190">
        <v>0</v>
      </c>
      <c r="D25" s="189" t="s">
        <v>100</v>
      </c>
      <c r="E25" s="189"/>
      <c r="F25" s="177" t="s">
        <v>106</v>
      </c>
      <c r="G25" s="177"/>
      <c r="H25" s="177"/>
      <c r="I25" s="251" t="s">
        <v>192</v>
      </c>
      <c r="J25" s="342">
        <f>COUNTIF(J9:J16,"0")</f>
        <v>0</v>
      </c>
      <c r="K25" s="185"/>
    </row>
    <row r="26" spans="2:11" ht="15" customHeight="1" thickTop="1" x14ac:dyDescent="0.2">
      <c r="B26" s="177"/>
      <c r="C26" s="177"/>
      <c r="D26" s="177"/>
      <c r="E26" s="177"/>
      <c r="F26" s="177"/>
      <c r="G26" s="864" t="s">
        <v>91</v>
      </c>
      <c r="H26" s="864"/>
      <c r="I26" s="313" t="s">
        <v>100</v>
      </c>
      <c r="J26" s="191">
        <f>SUM(J22:J25)</f>
        <v>9</v>
      </c>
      <c r="K26" s="192"/>
    </row>
    <row r="27" spans="2:11" ht="17.100000000000001" customHeight="1" x14ac:dyDescent="0.25">
      <c r="G27" s="193"/>
      <c r="H27" s="193"/>
      <c r="I27" s="194"/>
      <c r="J27" s="195"/>
      <c r="K27" s="195"/>
    </row>
    <row r="28" spans="2:11" ht="17.100000000000001" customHeight="1" x14ac:dyDescent="0.25">
      <c r="G28" s="193"/>
      <c r="H28" s="193"/>
      <c r="I28" s="194"/>
      <c r="J28" s="195"/>
      <c r="K28" s="195"/>
    </row>
    <row r="29" spans="2:11" x14ac:dyDescent="0.2">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7"/>
  <sheetViews>
    <sheetView showGridLines="0" topLeftCell="A3" zoomScale="85" zoomScaleNormal="85" workbookViewId="0">
      <selection activeCell="M40" sqref="M40"/>
    </sheetView>
  </sheetViews>
  <sheetFormatPr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x14ac:dyDescent="0.2">
      <c r="B1" s="111"/>
      <c r="C1" s="82"/>
      <c r="D1" s="82"/>
      <c r="E1" s="82"/>
      <c r="F1" s="82"/>
      <c r="G1" s="82"/>
      <c r="H1" s="82"/>
    </row>
    <row r="2" spans="2:10" ht="18" x14ac:dyDescent="0.2">
      <c r="B2" s="877" t="s">
        <v>160</v>
      </c>
      <c r="C2" s="877"/>
      <c r="D2" s="877"/>
      <c r="E2" s="877"/>
      <c r="F2" s="877"/>
      <c r="G2" s="877"/>
      <c r="H2" s="877"/>
      <c r="I2" s="877"/>
      <c r="J2" s="877"/>
    </row>
    <row r="3" spans="2:10" ht="15.75" x14ac:dyDescent="0.2">
      <c r="B3" s="877" t="s">
        <v>272</v>
      </c>
      <c r="C3" s="877"/>
      <c r="D3" s="877"/>
      <c r="E3" s="877"/>
      <c r="F3" s="877"/>
      <c r="G3" s="877"/>
      <c r="H3" s="877"/>
      <c r="I3" s="877"/>
      <c r="J3" s="877"/>
    </row>
    <row r="4" spans="2:10" ht="15.75" x14ac:dyDescent="0.2">
      <c r="B4" s="877" t="str">
        <f>+UTAMA!B4</f>
        <v xml:space="preserve">MINGGU KE  II MEI  ( 5 MEI S/D 11 MEI 2020) dalam Juta m3  </v>
      </c>
      <c r="C4" s="877"/>
      <c r="D4" s="877"/>
      <c r="E4" s="877"/>
      <c r="F4" s="877"/>
      <c r="G4" s="877"/>
      <c r="H4" s="877"/>
      <c r="I4" s="877"/>
      <c r="J4" s="877"/>
    </row>
    <row r="5" spans="2:10" ht="13.5" thickBot="1" x14ac:dyDescent="0.25"/>
    <row r="6" spans="2:10" ht="21" customHeight="1" x14ac:dyDescent="0.2">
      <c r="B6" s="880" t="s">
        <v>18</v>
      </c>
      <c r="C6" s="878" t="s">
        <v>19</v>
      </c>
      <c r="D6" s="330" t="s">
        <v>107</v>
      </c>
      <c r="E6" s="331" t="s">
        <v>25</v>
      </c>
      <c r="F6" s="882" t="s">
        <v>108</v>
      </c>
      <c r="G6" s="883"/>
      <c r="H6" s="884" t="s">
        <v>161</v>
      </c>
      <c r="I6" s="885"/>
      <c r="J6" s="332" t="s">
        <v>69</v>
      </c>
    </row>
    <row r="7" spans="2:10" ht="15.75" x14ac:dyDescent="0.25">
      <c r="B7" s="881"/>
      <c r="C7" s="879"/>
      <c r="D7" s="333" t="s">
        <v>109</v>
      </c>
      <c r="E7" s="334" t="s">
        <v>154</v>
      </c>
      <c r="F7" s="335" t="s">
        <v>96</v>
      </c>
      <c r="G7" s="335" t="s">
        <v>22</v>
      </c>
      <c r="H7" s="336" t="s">
        <v>96</v>
      </c>
      <c r="I7" s="336" t="s">
        <v>22</v>
      </c>
      <c r="J7" s="337" t="s">
        <v>22</v>
      </c>
    </row>
    <row r="8" spans="2:10" ht="15.75" x14ac:dyDescent="0.25">
      <c r="B8" s="210">
        <v>1</v>
      </c>
      <c r="C8" s="209">
        <v>2</v>
      </c>
      <c r="D8" s="209">
        <v>3</v>
      </c>
      <c r="E8" s="209">
        <v>4</v>
      </c>
      <c r="F8" s="209">
        <v>5</v>
      </c>
      <c r="G8" s="209">
        <v>6</v>
      </c>
      <c r="H8" s="209">
        <v>7</v>
      </c>
      <c r="I8" s="209">
        <v>8</v>
      </c>
      <c r="J8" s="211">
        <v>9</v>
      </c>
    </row>
    <row r="9" spans="2:10" ht="15.75" hidden="1" x14ac:dyDescent="0.25">
      <c r="B9" s="210">
        <v>1</v>
      </c>
      <c r="C9" s="212" t="s">
        <v>29</v>
      </c>
      <c r="D9" s="213">
        <v>28310</v>
      </c>
      <c r="E9" s="214">
        <v>7.77</v>
      </c>
      <c r="F9" s="172">
        <f>+UTAMA!G13</f>
        <v>75.94</v>
      </c>
      <c r="G9" s="174">
        <f>+UTAMA!I13</f>
        <v>77.099999999999994</v>
      </c>
      <c r="H9" s="173">
        <f>+UTAMA!H12</f>
        <v>7.593</v>
      </c>
      <c r="I9" s="173">
        <f>+UTAMA!J12</f>
        <v>7.335</v>
      </c>
      <c r="J9" s="243">
        <f t="shared" ref="J9:J39" si="0">IFERROR(+I9/H9*100%*100,0)</f>
        <v>96.602133544053743</v>
      </c>
    </row>
    <row r="10" spans="2:10" ht="15.75" hidden="1" x14ac:dyDescent="0.25">
      <c r="B10" s="210">
        <f>1+B9</f>
        <v>2</v>
      </c>
      <c r="C10" s="212" t="s">
        <v>32</v>
      </c>
      <c r="D10" s="213">
        <v>4959</v>
      </c>
      <c r="E10" s="214">
        <v>9.5030000000000001</v>
      </c>
      <c r="F10" s="172">
        <f>+UTAMA!G15</f>
        <v>206.18</v>
      </c>
      <c r="G10" s="174">
        <f>+UTAMA!I15</f>
        <v>207.01</v>
      </c>
      <c r="H10" s="173">
        <f>+UTAMA!H15</f>
        <v>8.5259999999999998</v>
      </c>
      <c r="I10" s="173">
        <f>UTAMA!J15</f>
        <v>9.5169999999999995</v>
      </c>
      <c r="J10" s="548">
        <f t="shared" si="0"/>
        <v>111.62326999765423</v>
      </c>
    </row>
    <row r="11" spans="2:10" ht="15.75" hidden="1" x14ac:dyDescent="0.25">
      <c r="B11" s="210">
        <f t="shared" ref="B11:B40" si="1">+B10+1</f>
        <v>3</v>
      </c>
      <c r="C11" s="212" t="s">
        <v>33</v>
      </c>
      <c r="D11" s="213">
        <v>6052</v>
      </c>
      <c r="E11" s="214">
        <v>5.1509999999999998</v>
      </c>
      <c r="F11" s="172">
        <f>+UTAMA!G16</f>
        <v>317.60000000000002</v>
      </c>
      <c r="G11" s="174">
        <f>+UTAMA!I16</f>
        <v>320</v>
      </c>
      <c r="H11" s="173">
        <f>+UTAMA!H16</f>
        <v>4.6500000000000004</v>
      </c>
      <c r="I11" s="173">
        <f>UTAMA!J16</f>
        <v>5.1509999999999998</v>
      </c>
      <c r="J11" s="243">
        <f t="shared" si="0"/>
        <v>110.77419354838709</v>
      </c>
    </row>
    <row r="12" spans="2:10" ht="15.75" hidden="1" x14ac:dyDescent="0.25">
      <c r="B12" s="210">
        <f t="shared" si="1"/>
        <v>4</v>
      </c>
      <c r="C12" s="212" t="s">
        <v>35</v>
      </c>
      <c r="D12" s="213">
        <v>923</v>
      </c>
      <c r="E12" s="214">
        <v>2.0920000000000001</v>
      </c>
      <c r="F12" s="172">
        <f>+UTAMA!G18</f>
        <v>118.22</v>
      </c>
      <c r="G12" s="176">
        <f>+UTAMA!I18</f>
        <v>119.26</v>
      </c>
      <c r="H12" s="173">
        <f>+UTAMA!H18</f>
        <v>1.153</v>
      </c>
      <c r="I12" s="215">
        <f>UTAMA!J18</f>
        <v>1.276</v>
      </c>
      <c r="J12" s="243">
        <f t="shared" si="0"/>
        <v>110.66782307025152</v>
      </c>
    </row>
    <row r="13" spans="2:10" ht="15.75" hidden="1" x14ac:dyDescent="0.25">
      <c r="B13" s="210">
        <f t="shared" si="1"/>
        <v>5</v>
      </c>
      <c r="C13" s="212" t="s">
        <v>36</v>
      </c>
      <c r="D13" s="213">
        <v>251</v>
      </c>
      <c r="E13" s="214">
        <v>2.3519999999999999</v>
      </c>
      <c r="F13" s="172">
        <f>+UTAMA!G19</f>
        <v>118.49</v>
      </c>
      <c r="G13" s="176">
        <f>+UTAMA!I19</f>
        <v>117.84</v>
      </c>
      <c r="H13" s="173">
        <f>+UTAMA!H19</f>
        <v>1.177</v>
      </c>
      <c r="I13" s="215">
        <f>UTAMA!J19</f>
        <v>0.66500000000000004</v>
      </c>
      <c r="J13" s="547">
        <f t="shared" si="0"/>
        <v>56.499575191163977</v>
      </c>
    </row>
    <row r="14" spans="2:10" ht="15.75" hidden="1" x14ac:dyDescent="0.25">
      <c r="B14" s="210">
        <f t="shared" si="1"/>
        <v>6</v>
      </c>
      <c r="C14" s="212" t="s">
        <v>37</v>
      </c>
      <c r="D14" s="213">
        <v>440</v>
      </c>
      <c r="E14" s="214">
        <v>4.5999999999999996</v>
      </c>
      <c r="F14" s="172">
        <f>+UTAMA!G20</f>
        <v>42.64</v>
      </c>
      <c r="G14" s="176">
        <f>+UTAMA!I20</f>
        <v>40.869999999999997</v>
      </c>
      <c r="H14" s="173">
        <f>+UTAMA!H20</f>
        <v>1.5349999999999999</v>
      </c>
      <c r="I14" s="215">
        <f>UTAMA!J20</f>
        <v>0.79100000000000004</v>
      </c>
      <c r="J14" s="243">
        <f t="shared" si="0"/>
        <v>51.530944625407173</v>
      </c>
    </row>
    <row r="15" spans="2:10" ht="15.75" hidden="1" x14ac:dyDescent="0.25">
      <c r="B15" s="210">
        <f t="shared" si="1"/>
        <v>7</v>
      </c>
      <c r="C15" s="212" t="s">
        <v>39</v>
      </c>
      <c r="D15" s="213">
        <v>775</v>
      </c>
      <c r="E15" s="214">
        <v>2.4159999999999999</v>
      </c>
      <c r="F15" s="172">
        <f>+UTAMA!G21</f>
        <v>48.26</v>
      </c>
      <c r="G15" s="174">
        <f>+UTAMA!I21</f>
        <v>51.43</v>
      </c>
      <c r="H15" s="173">
        <f>+UTAMA!H21</f>
        <v>1.3240000000000001</v>
      </c>
      <c r="I15" s="173">
        <f>UTAMA!J21</f>
        <v>2.548</v>
      </c>
      <c r="J15" s="243">
        <f t="shared" si="0"/>
        <v>192.44712990936554</v>
      </c>
    </row>
    <row r="16" spans="2:10" ht="15.75" hidden="1" x14ac:dyDescent="0.25">
      <c r="B16" s="210">
        <f t="shared" si="1"/>
        <v>8</v>
      </c>
      <c r="C16" s="212" t="s">
        <v>40</v>
      </c>
      <c r="D16" s="213">
        <v>750</v>
      </c>
      <c r="E16" s="214">
        <v>1.093</v>
      </c>
      <c r="F16" s="172">
        <f>+UTAMA!G22</f>
        <v>78.45</v>
      </c>
      <c r="G16" s="174">
        <f>+UTAMA!I22</f>
        <v>74.94</v>
      </c>
      <c r="H16" s="173">
        <f>+UTAMA!H22</f>
        <v>0.68</v>
      </c>
      <c r="I16" s="173">
        <f>UTAMA!J22</f>
        <v>0.30599999999999999</v>
      </c>
      <c r="J16" s="243">
        <f t="shared" si="0"/>
        <v>44.999999999999993</v>
      </c>
    </row>
    <row r="17" spans="2:10" ht="15.75" hidden="1" x14ac:dyDescent="0.25">
      <c r="B17" s="210">
        <f t="shared" si="1"/>
        <v>9</v>
      </c>
      <c r="C17" s="212" t="s">
        <v>41</v>
      </c>
      <c r="D17" s="213">
        <v>482</v>
      </c>
      <c r="E17" s="214">
        <v>0.42899999999999999</v>
      </c>
      <c r="F17" s="172">
        <f>+UTAMA!G23</f>
        <v>81.739999999999995</v>
      </c>
      <c r="G17" s="174">
        <f>+UTAMA!I23</f>
        <v>78</v>
      </c>
      <c r="H17" s="173">
        <f>+UTAMA!H23</f>
        <v>0.27400000000000002</v>
      </c>
      <c r="I17" s="173">
        <f>UTAMA!J23</f>
        <v>0</v>
      </c>
      <c r="J17" s="548">
        <f t="shared" si="0"/>
        <v>0</v>
      </c>
    </row>
    <row r="18" spans="2:10" ht="15.75" hidden="1" x14ac:dyDescent="0.25">
      <c r="B18" s="210">
        <f t="shared" si="1"/>
        <v>10</v>
      </c>
      <c r="C18" s="212" t="s">
        <v>42</v>
      </c>
      <c r="D18" s="213">
        <v>366</v>
      </c>
      <c r="E18" s="214">
        <v>0.25</v>
      </c>
      <c r="F18" s="172">
        <f>+UTAMA!G24</f>
        <v>69.34</v>
      </c>
      <c r="G18" s="176">
        <f>+UTAMA!I24</f>
        <v>62.86</v>
      </c>
      <c r="H18" s="173">
        <f>+UTAMA!H24</f>
        <v>0.16900000000000001</v>
      </c>
      <c r="I18" s="215">
        <f>UTAMA!J24</f>
        <v>0.13100000000000001</v>
      </c>
      <c r="J18" s="243">
        <f t="shared" si="0"/>
        <v>77.514792899408278</v>
      </c>
    </row>
    <row r="19" spans="2:10" ht="15.75" hidden="1" x14ac:dyDescent="0.25">
      <c r="B19" s="210">
        <f>+B18+1</f>
        <v>11</v>
      </c>
      <c r="C19" s="212" t="s">
        <v>43</v>
      </c>
      <c r="D19" s="213">
        <v>260</v>
      </c>
      <c r="E19" s="214">
        <v>0.38</v>
      </c>
      <c r="F19" s="172">
        <f>+UTAMA!G25</f>
        <v>46.46</v>
      </c>
      <c r="G19" s="176">
        <f>+UTAMA!I25</f>
        <v>46.88</v>
      </c>
      <c r="H19" s="173">
        <f>+UTAMA!H25</f>
        <v>0.21299999999999999</v>
      </c>
      <c r="I19" s="215">
        <f>UTAMA!J25</f>
        <v>0.378</v>
      </c>
      <c r="J19" s="243">
        <f t="shared" si="0"/>
        <v>177.46478873239437</v>
      </c>
    </row>
    <row r="20" spans="2:10" ht="15.75" hidden="1" x14ac:dyDescent="0.25">
      <c r="B20" s="210">
        <f>+B19+1</f>
        <v>12</v>
      </c>
      <c r="C20" s="212" t="s">
        <v>45</v>
      </c>
      <c r="D20" s="213">
        <v>874</v>
      </c>
      <c r="E20" s="214">
        <v>3.75</v>
      </c>
      <c r="F20" s="172">
        <f>+UTAMA!G27</f>
        <v>110.7</v>
      </c>
      <c r="G20" s="176">
        <f>+UTAMA!I27</f>
        <v>112.37</v>
      </c>
      <c r="H20" s="173">
        <f>+UTAMA!H27</f>
        <v>0.33200000000000002</v>
      </c>
      <c r="I20" s="215">
        <f>+UTAMA!J27</f>
        <v>0.40745182000000002</v>
      </c>
      <c r="J20" s="243">
        <f t="shared" si="0"/>
        <v>122.72645180722893</v>
      </c>
    </row>
    <row r="21" spans="2:10" ht="15.75" hidden="1" x14ac:dyDescent="0.25">
      <c r="B21" s="210">
        <f>+B20+1</f>
        <v>13</v>
      </c>
      <c r="C21" s="212" t="s">
        <v>46</v>
      </c>
      <c r="D21" s="213">
        <v>392</v>
      </c>
      <c r="E21" s="214">
        <v>1.2</v>
      </c>
      <c r="F21" s="172">
        <f>+UTAMA!G28</f>
        <v>202.5</v>
      </c>
      <c r="G21" s="176">
        <f>+UTAMA!I28</f>
        <v>202.3</v>
      </c>
      <c r="H21" s="173">
        <v>0.377</v>
      </c>
      <c r="I21" s="215">
        <f>+UTAMA!J28</f>
        <v>0.18823000000000001</v>
      </c>
      <c r="J21" s="243">
        <f t="shared" si="0"/>
        <v>49.928381962864719</v>
      </c>
    </row>
    <row r="22" spans="2:10" ht="15.75" hidden="1" x14ac:dyDescent="0.25">
      <c r="B22" s="210">
        <f t="shared" si="1"/>
        <v>14</v>
      </c>
      <c r="C22" s="212" t="s">
        <v>47</v>
      </c>
      <c r="D22" s="213">
        <v>500</v>
      </c>
      <c r="E22" s="214">
        <v>0.65</v>
      </c>
      <c r="F22" s="172">
        <f>+UTAMA!G29</f>
        <v>221.06</v>
      </c>
      <c r="G22" s="176">
        <f>+UTAMA!I29</f>
        <v>223.29</v>
      </c>
      <c r="H22" s="173">
        <f>+UTAMA!H29</f>
        <v>0.35399999999999998</v>
      </c>
      <c r="I22" s="215">
        <f>+UTAMA!J29</f>
        <v>0.52900000000000003</v>
      </c>
      <c r="J22" s="548">
        <f t="shared" si="0"/>
        <v>149.4350282485876</v>
      </c>
    </row>
    <row r="23" spans="2:10" ht="15.75" hidden="1" x14ac:dyDescent="0.25">
      <c r="B23" s="210">
        <f t="shared" si="1"/>
        <v>15</v>
      </c>
      <c r="C23" s="212" t="s">
        <v>48</v>
      </c>
      <c r="D23" s="213">
        <v>700</v>
      </c>
      <c r="E23" s="214">
        <v>1.58</v>
      </c>
      <c r="F23" s="172">
        <f>+UTAMA!G30</f>
        <v>193.8</v>
      </c>
      <c r="G23" s="176">
        <f>+UTAMA!I30</f>
        <v>194.64</v>
      </c>
      <c r="H23" s="173">
        <f>+UTAMA!H30</f>
        <v>0.22</v>
      </c>
      <c r="I23" s="215">
        <f>+UTAMA!J30</f>
        <v>0.29957279999999997</v>
      </c>
      <c r="J23" s="548">
        <f t="shared" si="0"/>
        <v>136.16945454545453</v>
      </c>
    </row>
    <row r="24" spans="2:10" ht="15.75" hidden="1" x14ac:dyDescent="0.25">
      <c r="B24" s="210">
        <f t="shared" si="1"/>
        <v>16</v>
      </c>
      <c r="C24" s="212" t="s">
        <v>49</v>
      </c>
      <c r="D24" s="213">
        <v>87</v>
      </c>
      <c r="E24" s="214">
        <v>0.47899999999999998</v>
      </c>
      <c r="F24" s="172">
        <f>+UTAMA!G31</f>
        <v>169.3</v>
      </c>
      <c r="G24" s="176">
        <f>+UTAMA!I31</f>
        <v>169.55</v>
      </c>
      <c r="H24" s="173">
        <f>+UTAMA!H31</f>
        <v>0.09</v>
      </c>
      <c r="I24" s="215">
        <f>+UTAMA!J31</f>
        <v>0.102786</v>
      </c>
      <c r="J24" s="243">
        <f t="shared" si="0"/>
        <v>114.20666666666668</v>
      </c>
    </row>
    <row r="25" spans="2:10" ht="15.75" hidden="1" x14ac:dyDescent="0.25">
      <c r="B25" s="210">
        <f t="shared" si="1"/>
        <v>17</v>
      </c>
      <c r="C25" s="212" t="s">
        <v>50</v>
      </c>
      <c r="D25" s="213">
        <v>354</v>
      </c>
      <c r="E25" s="214">
        <v>0.79</v>
      </c>
      <c r="F25" s="172">
        <f>+UTAMA!G32</f>
        <v>224.71</v>
      </c>
      <c r="G25" s="176">
        <f>+UTAMA!I32</f>
        <v>225.89</v>
      </c>
      <c r="H25" s="173">
        <f>+UTAMA!H32</f>
        <v>0.41799999999999998</v>
      </c>
      <c r="I25" s="215">
        <f>+UTAMA!J32</f>
        <v>0.51852900000000002</v>
      </c>
      <c r="J25" s="243">
        <f t="shared" si="0"/>
        <v>124.05000000000001</v>
      </c>
    </row>
    <row r="26" spans="2:10" ht="15.75" hidden="1" x14ac:dyDescent="0.25">
      <c r="B26" s="210">
        <f t="shared" si="1"/>
        <v>18</v>
      </c>
      <c r="C26" s="212" t="s">
        <v>51</v>
      </c>
      <c r="D26" s="213">
        <v>637</v>
      </c>
      <c r="E26" s="214">
        <v>2.12</v>
      </c>
      <c r="F26" s="172">
        <f>+UTAMA!G33</f>
        <v>241.16</v>
      </c>
      <c r="G26" s="176">
        <f>+UTAMA!I33</f>
        <v>243.2</v>
      </c>
      <c r="H26" s="173">
        <f>+UTAMA!H33</f>
        <v>0.35499999999999998</v>
      </c>
      <c r="I26" s="215">
        <f>+UTAMA!J33</f>
        <v>0.64993000000000001</v>
      </c>
      <c r="J26" s="243">
        <f t="shared" si="0"/>
        <v>183.07887323943663</v>
      </c>
    </row>
    <row r="27" spans="2:10" ht="15.75" hidden="1" x14ac:dyDescent="0.25">
      <c r="B27" s="210">
        <f t="shared" si="1"/>
        <v>19</v>
      </c>
      <c r="C27" s="212" t="s">
        <v>52</v>
      </c>
      <c r="D27" s="213">
        <v>7394</v>
      </c>
      <c r="E27" s="214">
        <v>5</v>
      </c>
      <c r="F27" s="172">
        <f>+UTAMA!G34</f>
        <v>147</v>
      </c>
      <c r="G27" s="174">
        <f>+UTAMA!I34</f>
        <v>149.55000000000001</v>
      </c>
      <c r="H27" s="173">
        <f>+UTAMA!H34</f>
        <v>1.59</v>
      </c>
      <c r="I27" s="173">
        <f>+UTAMA!J34</f>
        <v>3.2364805099999998</v>
      </c>
      <c r="J27" s="243">
        <f t="shared" si="0"/>
        <v>203.55223333333333</v>
      </c>
    </row>
    <row r="28" spans="2:10" ht="15.75" hidden="1" x14ac:dyDescent="0.25">
      <c r="B28" s="210">
        <f t="shared" si="1"/>
        <v>20</v>
      </c>
      <c r="C28" s="212" t="s">
        <v>53</v>
      </c>
      <c r="D28" s="213">
        <v>2410</v>
      </c>
      <c r="E28" s="214">
        <v>4.2</v>
      </c>
      <c r="F28" s="172">
        <f>+UTAMA!G35</f>
        <v>229.88</v>
      </c>
      <c r="G28" s="174">
        <f>+UTAMA!I35</f>
        <v>231.13</v>
      </c>
      <c r="H28" s="173">
        <f>+UTAMA!H35</f>
        <v>1.8939999999999999</v>
      </c>
      <c r="I28" s="173">
        <f>+UTAMA!J35</f>
        <v>2.5542298400000001</v>
      </c>
      <c r="J28" s="243">
        <f t="shared" si="0"/>
        <v>134.859020063358</v>
      </c>
    </row>
    <row r="29" spans="2:10" ht="15.75" x14ac:dyDescent="0.25">
      <c r="B29" s="210">
        <f t="shared" si="1"/>
        <v>21</v>
      </c>
      <c r="C29" s="212" t="s">
        <v>54</v>
      </c>
      <c r="D29" s="213">
        <v>1370</v>
      </c>
      <c r="E29" s="214">
        <v>0.7</v>
      </c>
      <c r="F29" s="172">
        <f>+UTAMA!G36</f>
        <v>325.5</v>
      </c>
      <c r="G29" s="176">
        <f>+UTAMA!I36</f>
        <v>324.72000000000003</v>
      </c>
      <c r="H29" s="173">
        <f>+UTAMA!H36</f>
        <v>0.69499999999999995</v>
      </c>
      <c r="I29" s="215">
        <f>+UTAMA!J36</f>
        <v>0.62363170000000001</v>
      </c>
      <c r="J29" s="548">
        <f t="shared" si="0"/>
        <v>89.731179856115119</v>
      </c>
    </row>
    <row r="30" spans="2:10" ht="15.75" x14ac:dyDescent="0.25">
      <c r="B30" s="210">
        <f t="shared" si="1"/>
        <v>22</v>
      </c>
      <c r="C30" s="212" t="s">
        <v>55</v>
      </c>
      <c r="D30" s="213">
        <v>358</v>
      </c>
      <c r="E30" s="214">
        <v>0.5</v>
      </c>
      <c r="F30" s="172">
        <f>+UTAMA!G37</f>
        <v>126.62</v>
      </c>
      <c r="G30" s="176">
        <f>+UTAMA!I37</f>
        <v>129.19999999999999</v>
      </c>
      <c r="H30" s="173">
        <f>+UTAMA!H37</f>
        <v>0.22800000000000001</v>
      </c>
      <c r="I30" s="215">
        <f>+UTAMA!J37</f>
        <v>0.5</v>
      </c>
      <c r="J30" s="243">
        <f t="shared" si="0"/>
        <v>219.29824561403507</v>
      </c>
    </row>
    <row r="31" spans="2:10" ht="15.75" x14ac:dyDescent="0.25">
      <c r="B31" s="210">
        <f t="shared" si="1"/>
        <v>23</v>
      </c>
      <c r="C31" s="212" t="s">
        <v>56</v>
      </c>
      <c r="D31" s="213">
        <v>268</v>
      </c>
      <c r="E31" s="214">
        <v>0.51</v>
      </c>
      <c r="F31" s="172">
        <f>+UTAMA!G38</f>
        <v>280.32</v>
      </c>
      <c r="G31" s="174">
        <f>+UTAMA!I38</f>
        <v>282.77999999999997</v>
      </c>
      <c r="H31" s="173">
        <f>+UTAMA!H38</f>
        <v>0.23200000000000001</v>
      </c>
      <c r="I31" s="215">
        <f>+UTAMA!J38</f>
        <v>0.57354000000000005</v>
      </c>
      <c r="J31" s="243">
        <f t="shared" si="0"/>
        <v>247.21551724137933</v>
      </c>
    </row>
    <row r="32" spans="2:10" ht="15.75" x14ac:dyDescent="0.25">
      <c r="B32" s="210">
        <f t="shared" si="1"/>
        <v>24</v>
      </c>
      <c r="C32" s="212" t="s">
        <v>57</v>
      </c>
      <c r="D32" s="213">
        <v>892</v>
      </c>
      <c r="E32" s="214">
        <v>2.6</v>
      </c>
      <c r="F32" s="172">
        <f>+UTAMA!G39</f>
        <v>97.83</v>
      </c>
      <c r="G32" s="176">
        <f>+UTAMA!I39</f>
        <v>98.84</v>
      </c>
      <c r="H32" s="173">
        <f>+UTAMA!H39</f>
        <v>0.752</v>
      </c>
      <c r="I32" s="215">
        <f>+UTAMA!J39</f>
        <v>0.965187927</v>
      </c>
      <c r="J32" s="243">
        <f t="shared" si="0"/>
        <v>128.34945837765957</v>
      </c>
    </row>
    <row r="33" spans="2:13" ht="15.75" x14ac:dyDescent="0.25">
      <c r="B33" s="210">
        <f t="shared" si="1"/>
        <v>25</v>
      </c>
      <c r="C33" s="212" t="s">
        <v>58</v>
      </c>
      <c r="D33" s="213">
        <v>274</v>
      </c>
      <c r="E33" s="214">
        <v>0.08</v>
      </c>
      <c r="F33" s="172">
        <f>+UTAMA!G40</f>
        <v>188.87</v>
      </c>
      <c r="G33" s="176">
        <f>+UTAMA!I40</f>
        <v>189.4</v>
      </c>
      <c r="H33" s="173">
        <f>+UTAMA!H40</f>
        <v>5.3999999999999999E-2</v>
      </c>
      <c r="I33" s="215">
        <f>+UTAMA!J40</f>
        <v>7.3440000000000005E-2</v>
      </c>
      <c r="J33" s="243">
        <f t="shared" si="0"/>
        <v>136</v>
      </c>
    </row>
    <row r="34" spans="2:13" ht="15.75" x14ac:dyDescent="0.25">
      <c r="B34" s="210">
        <f t="shared" si="1"/>
        <v>26</v>
      </c>
      <c r="C34" s="212" t="s">
        <v>59</v>
      </c>
      <c r="D34" s="213">
        <v>295</v>
      </c>
      <c r="E34" s="214">
        <v>0.09</v>
      </c>
      <c r="F34" s="172">
        <f>+UTAMA!G41</f>
        <v>169.73</v>
      </c>
      <c r="G34" s="176">
        <f>+UTAMA!I41</f>
        <v>171.4</v>
      </c>
      <c r="H34" s="173">
        <f>+UTAMA!H41</f>
        <v>6.0999999999999999E-2</v>
      </c>
      <c r="I34" s="215">
        <f>+UTAMA!J41</f>
        <v>0.101966</v>
      </c>
      <c r="J34" s="243">
        <f t="shared" si="0"/>
        <v>167.15737704918033</v>
      </c>
    </row>
    <row r="35" spans="2:13" ht="15.75" x14ac:dyDescent="0.25">
      <c r="B35" s="210">
        <f t="shared" si="1"/>
        <v>27</v>
      </c>
      <c r="C35" s="212" t="s">
        <v>60</v>
      </c>
      <c r="D35" s="213">
        <v>1570</v>
      </c>
      <c r="E35" s="214">
        <v>9.157</v>
      </c>
      <c r="F35" s="172">
        <f>+UTAMA!G42</f>
        <v>150.37</v>
      </c>
      <c r="G35" s="174">
        <f>+UTAMA!I42</f>
        <v>153.15</v>
      </c>
      <c r="H35" s="173">
        <f>+UTAMA!H42</f>
        <v>2.7679999999999998</v>
      </c>
      <c r="I35" s="173">
        <f>+UTAMA!J42</f>
        <v>9.4786347099999997</v>
      </c>
      <c r="J35" s="243">
        <f t="shared" si="0"/>
        <v>342.43622507225433</v>
      </c>
    </row>
    <row r="36" spans="2:13" ht="15.75" x14ac:dyDescent="0.25">
      <c r="B36" s="210">
        <f t="shared" si="1"/>
        <v>28</v>
      </c>
      <c r="C36" s="212" t="s">
        <v>61</v>
      </c>
      <c r="D36" s="213">
        <v>1353</v>
      </c>
      <c r="E36" s="214">
        <v>2.67</v>
      </c>
      <c r="F36" s="172">
        <f>+UTAMA!G43</f>
        <v>238.92</v>
      </c>
      <c r="G36" s="174">
        <f>+UTAMA!I43</f>
        <v>238.48</v>
      </c>
      <c r="H36" s="173">
        <f>+UTAMA!H43</f>
        <v>2.3580000000000001</v>
      </c>
      <c r="I36" s="173">
        <f>+UTAMA!J43</f>
        <v>2.1288</v>
      </c>
      <c r="J36" s="243">
        <f t="shared" si="0"/>
        <v>90.279898218829516</v>
      </c>
    </row>
    <row r="37" spans="2:13" ht="15.75" x14ac:dyDescent="0.25">
      <c r="B37" s="210">
        <f t="shared" si="1"/>
        <v>29</v>
      </c>
      <c r="C37" s="212" t="s">
        <v>62</v>
      </c>
      <c r="D37" s="213">
        <v>782</v>
      </c>
      <c r="E37" s="214">
        <v>3.67</v>
      </c>
      <c r="F37" s="172">
        <f>+UTAMA!G44</f>
        <v>119.75</v>
      </c>
      <c r="G37" s="174">
        <f>+UTAMA!I44</f>
        <v>120.75</v>
      </c>
      <c r="H37" s="173">
        <f>+UTAMA!H44</f>
        <v>2.3010000000000002</v>
      </c>
      <c r="I37" s="173">
        <f>+UTAMA!J44</f>
        <v>4.154369</v>
      </c>
      <c r="J37" s="243">
        <f t="shared" si="0"/>
        <v>180.5462407648848</v>
      </c>
    </row>
    <row r="38" spans="2:13" ht="15.75" x14ac:dyDescent="0.25">
      <c r="B38" s="210">
        <f t="shared" si="1"/>
        <v>30</v>
      </c>
      <c r="C38" s="212" t="s">
        <v>63</v>
      </c>
      <c r="D38" s="213">
        <v>43</v>
      </c>
      <c r="E38" s="214">
        <v>2.75</v>
      </c>
      <c r="F38" s="172">
        <f>+UTAMA!G45</f>
        <v>109.6</v>
      </c>
      <c r="G38" s="174">
        <f>+UTAMA!I45</f>
        <v>110.55</v>
      </c>
      <c r="H38" s="173">
        <f>+UTAMA!H45</f>
        <v>1.393</v>
      </c>
      <c r="I38" s="173">
        <f>+UTAMA!J45</f>
        <v>2.7310267800000001</v>
      </c>
      <c r="J38" s="243">
        <f t="shared" si="0"/>
        <v>196.05360947595119</v>
      </c>
    </row>
    <row r="39" spans="2:13" ht="15.75" x14ac:dyDescent="0.25">
      <c r="B39" s="210">
        <f t="shared" si="1"/>
        <v>31</v>
      </c>
      <c r="C39" s="212" t="s">
        <v>231</v>
      </c>
      <c r="D39" s="213">
        <v>0</v>
      </c>
      <c r="E39" s="214">
        <v>0.47</v>
      </c>
      <c r="F39" s="172">
        <f>+UTAMA!G50</f>
        <v>38.549999999999997</v>
      </c>
      <c r="G39" s="174">
        <f>+UTAMA!I50</f>
        <v>39</v>
      </c>
      <c r="H39" s="173">
        <f>+UTAMA!H50</f>
        <v>0.34</v>
      </c>
      <c r="I39" s="173">
        <f>UTAMA!J50</f>
        <v>0.47</v>
      </c>
      <c r="J39" s="243">
        <f t="shared" si="0"/>
        <v>138.23529411764704</v>
      </c>
    </row>
    <row r="40" spans="2:13" ht="15.75" x14ac:dyDescent="0.25">
      <c r="B40" s="210">
        <f t="shared" si="1"/>
        <v>32</v>
      </c>
      <c r="C40" s="212" t="s">
        <v>232</v>
      </c>
      <c r="D40" s="213">
        <v>0</v>
      </c>
      <c r="E40" s="214">
        <v>0.82</v>
      </c>
      <c r="F40" s="172">
        <f>+UTAMA!G51</f>
        <v>69.900000000000006</v>
      </c>
      <c r="G40" s="174">
        <f>+UTAMA!I51</f>
        <v>70</v>
      </c>
      <c r="H40" s="173">
        <f>+UTAMA!H51</f>
        <v>0.8</v>
      </c>
      <c r="I40" s="173">
        <f>UTAMA!J51</f>
        <v>0.74399999999999999</v>
      </c>
      <c r="J40" s="547">
        <f>IFERROR(+I40/H40*100%*100,0)</f>
        <v>93</v>
      </c>
    </row>
    <row r="41" spans="2:13" ht="16.5" thickBot="1" x14ac:dyDescent="0.3">
      <c r="B41" s="637"/>
      <c r="C41" s="638" t="s">
        <v>91</v>
      </c>
      <c r="D41" s="639">
        <f>SUM(D9:D38)</f>
        <v>64121</v>
      </c>
      <c r="E41" s="663">
        <f>SUM(E9:E40)</f>
        <v>79.821999999999989</v>
      </c>
      <c r="F41" s="640"/>
      <c r="G41" s="640"/>
      <c r="H41" s="641">
        <f>SUM(H9:H40)</f>
        <v>44.906000000000006</v>
      </c>
      <c r="I41" s="642">
        <f>SUM(I9:I40)</f>
        <v>59.128806086999994</v>
      </c>
      <c r="J41" s="643">
        <f>+I41/H41*100%*100</f>
        <v>131.67239586469509</v>
      </c>
    </row>
    <row r="42" spans="2:13" ht="16.5" thickBot="1" x14ac:dyDescent="0.3">
      <c r="B42" s="644" t="s">
        <v>68</v>
      </c>
      <c r="C42" s="645" t="s">
        <v>69</v>
      </c>
      <c r="D42" s="645"/>
      <c r="E42" s="646"/>
      <c r="F42" s="647"/>
      <c r="G42" s="647"/>
      <c r="H42" s="648" t="s">
        <v>97</v>
      </c>
      <c r="I42" s="649">
        <f>+I41/H41*100%</f>
        <v>1.316723958646951</v>
      </c>
      <c r="J42" s="650"/>
    </row>
    <row r="43" spans="2:13" ht="15" x14ac:dyDescent="0.25">
      <c r="C43" s="206" t="s">
        <v>92</v>
      </c>
      <c r="D43" s="206"/>
      <c r="E43" s="206"/>
      <c r="F43" s="205"/>
      <c r="G43" s="205"/>
      <c r="H43" s="205"/>
      <c r="I43" s="205"/>
      <c r="J43" s="205"/>
    </row>
    <row r="44" spans="2:13" ht="15.75" x14ac:dyDescent="0.25">
      <c r="C44" s="205" t="s">
        <v>93</v>
      </c>
      <c r="D44" s="205"/>
      <c r="E44" s="205"/>
      <c r="F44" s="205"/>
      <c r="G44" s="205"/>
      <c r="H44" s="205"/>
      <c r="I44" s="205"/>
      <c r="J44" s="205"/>
      <c r="M44" s="244"/>
    </row>
    <row r="45" spans="2:13" ht="15" x14ac:dyDescent="0.25">
      <c r="C45" s="205" t="s">
        <v>99</v>
      </c>
      <c r="D45" s="205"/>
      <c r="E45" s="194" t="s">
        <v>100</v>
      </c>
      <c r="F45" s="205" t="s">
        <v>101</v>
      </c>
      <c r="G45" s="205"/>
      <c r="H45" s="205"/>
      <c r="I45" s="312" t="s">
        <v>191</v>
      </c>
      <c r="J45" s="338">
        <f>COUNTIF(J9:J40,"&gt;100")</f>
        <v>22</v>
      </c>
    </row>
    <row r="46" spans="2:13" ht="15" x14ac:dyDescent="0.25">
      <c r="C46" s="205" t="s">
        <v>102</v>
      </c>
      <c r="D46" s="205"/>
      <c r="E46" s="194" t="s">
        <v>100</v>
      </c>
      <c r="F46" s="205" t="s">
        <v>103</v>
      </c>
      <c r="G46" s="205"/>
      <c r="H46" s="205"/>
      <c r="I46" s="312" t="s">
        <v>191</v>
      </c>
      <c r="J46" s="339">
        <f>COUNTIFS(J9:J40,"&gt;=85",J9:J40,"&lt;=100")</f>
        <v>4</v>
      </c>
    </row>
    <row r="47" spans="2:13" ht="15" x14ac:dyDescent="0.25">
      <c r="C47" s="205" t="s">
        <v>104</v>
      </c>
      <c r="D47" s="205"/>
      <c r="E47" s="194" t="s">
        <v>100</v>
      </c>
      <c r="F47" s="205" t="s">
        <v>105</v>
      </c>
      <c r="G47" s="205"/>
      <c r="H47" s="205"/>
      <c r="I47" s="312" t="s">
        <v>191</v>
      </c>
      <c r="J47" s="340">
        <f>COUNTIFS(J9:J40,"&gt;0",J9:J40,"&lt;=85")</f>
        <v>5</v>
      </c>
    </row>
    <row r="48" spans="2:13" ht="15.75" thickBot="1" x14ac:dyDescent="0.3">
      <c r="C48" s="207">
        <v>0</v>
      </c>
      <c r="D48" s="207"/>
      <c r="E48" s="194" t="s">
        <v>100</v>
      </c>
      <c r="F48" s="205" t="s">
        <v>129</v>
      </c>
      <c r="G48" s="205"/>
      <c r="H48" s="205"/>
      <c r="I48" s="312" t="s">
        <v>191</v>
      </c>
      <c r="J48" s="341">
        <f>COUNTIF(J9:J40,"0")</f>
        <v>1</v>
      </c>
    </row>
    <row r="49" spans="3:10" ht="16.5" thickTop="1" x14ac:dyDescent="0.25">
      <c r="C49" s="205"/>
      <c r="D49" s="205"/>
      <c r="E49" s="205"/>
      <c r="F49" s="194"/>
      <c r="G49" s="205"/>
      <c r="H49" s="205"/>
      <c r="I49" s="185" t="s">
        <v>91</v>
      </c>
      <c r="J49" s="208">
        <f>SUM(J45:J48)</f>
        <v>32</v>
      </c>
    </row>
    <row r="67" spans="11:16" ht="15" x14ac:dyDescent="0.2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110</v>
      </c>
      <c r="B2" s="39"/>
      <c r="C2" s="39"/>
      <c r="D2" s="39"/>
      <c r="E2" s="39"/>
      <c r="F2" s="39"/>
      <c r="G2" s="39"/>
    </row>
    <row r="3" spans="1:8" ht="21.75" x14ac:dyDescent="0.2">
      <c r="A3" s="39" t="s">
        <v>111</v>
      </c>
      <c r="B3" s="40"/>
      <c r="C3" s="40"/>
      <c r="D3" s="40"/>
      <c r="E3" s="40"/>
      <c r="F3" s="40"/>
      <c r="G3" s="40"/>
    </row>
    <row r="4" spans="1:8" ht="21.75" x14ac:dyDescent="0.4">
      <c r="A4" s="41" t="s">
        <v>155</v>
      </c>
      <c r="B4" s="41"/>
      <c r="C4" s="41"/>
      <c r="D4" s="41"/>
      <c r="E4" s="41"/>
      <c r="F4" s="41"/>
      <c r="G4" s="41"/>
    </row>
    <row r="5" spans="1:8" ht="13.5" thickBot="1" x14ac:dyDescent="0.25"/>
    <row r="6" spans="1:8" ht="15.75" x14ac:dyDescent="0.2">
      <c r="A6" s="42" t="s">
        <v>18</v>
      </c>
      <c r="B6" s="43" t="s">
        <v>1</v>
      </c>
      <c r="C6" s="44" t="s">
        <v>112</v>
      </c>
      <c r="D6" s="47"/>
      <c r="E6" s="44" t="s">
        <v>22</v>
      </c>
      <c r="F6" s="47"/>
      <c r="G6" s="45" t="s">
        <v>113</v>
      </c>
      <c r="H6" s="50" t="s">
        <v>74</v>
      </c>
    </row>
    <row r="7" spans="1:8" ht="19.5" thickBot="1" x14ac:dyDescent="0.3">
      <c r="A7" s="48"/>
      <c r="B7" s="38"/>
      <c r="C7" s="1" t="s">
        <v>95</v>
      </c>
      <c r="D7" s="1" t="s">
        <v>114</v>
      </c>
      <c r="E7" s="1" t="s">
        <v>95</v>
      </c>
      <c r="F7" s="1" t="s">
        <v>114</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115</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116</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117</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118</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119</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120</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121</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122</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123</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124</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125</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126</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I66"/>
  <sheetViews>
    <sheetView showGridLines="0" topLeftCell="A19" zoomScale="80" zoomScaleNormal="80" workbookViewId="0">
      <selection activeCell="K41" sqref="K41"/>
    </sheetView>
  </sheetViews>
  <sheetFormatPr defaultRowHeight="12.75" x14ac:dyDescent="0.2"/>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x14ac:dyDescent="0.3">
      <c r="A1" s="888" t="s">
        <v>175</v>
      </c>
      <c r="B1" s="889"/>
      <c r="C1" s="889"/>
      <c r="D1" s="889"/>
      <c r="E1" s="889"/>
      <c r="F1" s="889"/>
      <c r="G1" s="889"/>
      <c r="H1" s="889"/>
      <c r="I1" s="889"/>
      <c r="J1" s="889"/>
      <c r="K1" s="889"/>
      <c r="L1" s="889"/>
      <c r="M1" s="889"/>
      <c r="N1" s="889"/>
      <c r="O1" s="889"/>
      <c r="P1" s="889"/>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x14ac:dyDescent="0.25">
      <c r="A2" s="890" t="s">
        <v>312</v>
      </c>
      <c r="B2" s="891"/>
      <c r="C2" s="891"/>
      <c r="D2" s="891"/>
      <c r="E2" s="891"/>
      <c r="F2" s="891"/>
      <c r="G2" s="891"/>
      <c r="H2" s="891"/>
      <c r="I2" s="891"/>
      <c r="J2" s="891"/>
      <c r="K2" s="891"/>
      <c r="L2" s="891"/>
      <c r="M2" s="891"/>
      <c r="N2" s="891"/>
      <c r="O2" s="891"/>
      <c r="P2" s="891"/>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Sesuai Rencana</v>
      </c>
      <c r="AB2" s="307" t="s">
        <v>29</v>
      </c>
      <c r="AC2" s="307"/>
      <c r="AD2" s="380" t="s">
        <v>181</v>
      </c>
      <c r="AE2" s="307" t="str">
        <f t="array" ref="AE2">IF(ISERROR(INDEX($AA$1:$AB$33,SMALL(IF($AA$1:$AA$33=$AE$1,ROW($AA$1:$AA$33)),ROW(1:1)),2)),"",INDEX($AA$1:$AB$33,SMALL(IF($AA$1:$AA$33=$AE$1,ROW($AA$1:$AA$33)),ROW(1:1)),2))</f>
        <v>Simo</v>
      </c>
      <c r="AF2" s="307"/>
      <c r="AG2" s="307"/>
      <c r="AH2" s="381"/>
    </row>
    <row r="3" spans="1:34" ht="15.75" x14ac:dyDescent="0.2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Atas Rencana</v>
      </c>
      <c r="AB3" s="307" t="s">
        <v>32</v>
      </c>
      <c r="AC3" s="307"/>
      <c r="AD3" s="307"/>
      <c r="AE3" s="307"/>
      <c r="AF3" s="307"/>
      <c r="AG3" s="307"/>
      <c r="AH3" s="381"/>
    </row>
    <row r="4" spans="1:34" ht="15.75" x14ac:dyDescent="0.2">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Di Atas Rencana</v>
      </c>
      <c r="T4" s="307" t="s">
        <v>31</v>
      </c>
      <c r="U4" s="307"/>
      <c r="V4" s="380" t="s">
        <v>179</v>
      </c>
      <c r="W4" s="380" t="s">
        <v>182</v>
      </c>
      <c r="X4" s="380"/>
      <c r="Y4" s="307"/>
      <c r="Z4" s="444">
        <v>3</v>
      </c>
      <c r="AA4" s="307" t="str">
        <f>IF('RINCI 2'!J11=0,"Kosong",IF('RINCI 2'!J11&lt;85,"Di Bawah Rencana",IF('RINCI 2'!J11&gt;100,"Di Atas Rencana","Sesuai Rencana")))</f>
        <v>Di Atas Rencana</v>
      </c>
      <c r="AB4" s="307" t="s">
        <v>33</v>
      </c>
      <c r="AC4" s="307"/>
      <c r="AD4" s="380" t="s">
        <v>179</v>
      </c>
      <c r="AE4" s="380" t="s">
        <v>183</v>
      </c>
      <c r="AF4" s="307"/>
      <c r="AG4" s="307"/>
      <c r="AH4" s="381"/>
    </row>
    <row r="5" spans="1:34" ht="15.75" x14ac:dyDescent="0.2">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Di Atas Rencana</v>
      </c>
      <c r="AB5" s="307" t="s">
        <v>35</v>
      </c>
      <c r="AC5" s="307"/>
      <c r="AD5" s="380" t="s">
        <v>181</v>
      </c>
      <c r="AE5" s="307" t="str">
        <f t="array" ref="AE5">IF(ISERROR(INDEX($AA$1:$AB$33,SMALL(IF($AA$1:$AA$33=$AE$4,ROW($AA$1:$AA$33)),ROW(1:1)),2)),"",INDEX($AA$1:$AB$33,SMALL(IF($AA$1:$AA$33=$AE$4,ROW($AA$1:$AA$33)),ROW(1:1)),2))</f>
        <v>Greneng</v>
      </c>
      <c r="AF5" s="307"/>
      <c r="AG5" s="307"/>
      <c r="AH5" s="381"/>
    </row>
    <row r="6" spans="1:34" x14ac:dyDescent="0.2">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Di Atas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x14ac:dyDescent="0.2">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x14ac:dyDescent="0.2">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Sesuai Rencana</v>
      </c>
      <c r="T8" s="307" t="s">
        <v>65</v>
      </c>
      <c r="U8" s="307"/>
      <c r="V8" s="380" t="s">
        <v>181</v>
      </c>
      <c r="W8" s="307" t="str">
        <f t="array" ref="W8">IF(ISERROR(INDEX($S$1:$T$10,SMALL(IF($S$1:$S$10=$W$7,ROW($S$1:$S$10)),ROW(1:1)),2)),"",INDEX($S$1:$T$10,SMALL(IF($S$1:$S$10=$W$7,ROW($S$1:$S$10)),ROW(1:1)),2))</f>
        <v>Wadaslintang</v>
      </c>
      <c r="X8" s="307"/>
      <c r="Y8" s="307"/>
      <c r="Z8" s="444">
        <v>7</v>
      </c>
      <c r="AA8" s="307" t="str">
        <f>IF('RINCI 2'!J15=0,"Kosong",IF('RINCI 2'!J15&lt;85,"Di Bawah Rencana",IF('RINCI 2'!J15&gt;100,"Di Atas Rencana","Sesuai Rencana")))</f>
        <v>Di Atas Rencana</v>
      </c>
      <c r="AB8" s="307" t="s">
        <v>39</v>
      </c>
      <c r="AC8" s="307"/>
      <c r="AD8" s="380" t="s">
        <v>181</v>
      </c>
      <c r="AE8" s="307" t="str">
        <f t="array" ref="AE8">IF(ISERROR(INDEX($AA$1:$AB$33,SMALL(IF($AA$1:$AA$33=$AE$7,ROW($AA$1:$AA$33)),ROW(1:1)),2)),"",INDEX($AA$1:$AB$33,SMALL(IF($AA$1:$AA$33=$AE$7,ROW($AA$1:$AA$33)),ROW(1:1)),2))</f>
        <v>Penjalin</v>
      </c>
      <c r="AF8" s="307"/>
      <c r="AG8" s="307"/>
      <c r="AH8" s="381"/>
    </row>
    <row r="9" spans="1:34" x14ac:dyDescent="0.2">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x14ac:dyDescent="0.2">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Di Atas Rencana</v>
      </c>
      <c r="T10" s="307" t="s">
        <v>236</v>
      </c>
      <c r="U10" s="307"/>
      <c r="V10" s="380" t="s">
        <v>179</v>
      </c>
      <c r="W10" s="380" t="s">
        <v>185</v>
      </c>
      <c r="X10" s="307"/>
      <c r="Y10" s="307"/>
      <c r="Z10" s="444">
        <v>9</v>
      </c>
      <c r="AA10" s="307" t="str">
        <f>IF('RINCI 2'!J17=0,"Kosong",IF('RINCI 2'!J17&lt;85,"Di Bawah Rencana",IF('RINCI 2'!J17&gt;100,"Di Atas Rencana","Sesuai Rencana")))</f>
        <v>Kosong</v>
      </c>
      <c r="AB10" s="307" t="s">
        <v>41</v>
      </c>
      <c r="AC10" s="307"/>
      <c r="AD10" s="380" t="s">
        <v>179</v>
      </c>
      <c r="AE10" s="380" t="s">
        <v>185</v>
      </c>
      <c r="AF10" s="307"/>
      <c r="AG10" s="307"/>
      <c r="AH10" s="381"/>
    </row>
    <row r="11" spans="1:34" x14ac:dyDescent="0.2">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Gembong</v>
      </c>
      <c r="AF11" s="307"/>
      <c r="AG11" s="307"/>
      <c r="AH11" s="381"/>
    </row>
    <row r="12" spans="1:34" x14ac:dyDescent="0.2">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x14ac:dyDescent="0.2">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x14ac:dyDescent="0.2">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x14ac:dyDescent="0.2">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x14ac:dyDescent="0.2">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x14ac:dyDescent="0.2">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x14ac:dyDescent="0.2">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Atas Rencana</v>
      </c>
      <c r="AB18" s="307" t="s">
        <v>50</v>
      </c>
      <c r="AC18" s="307"/>
      <c r="AD18" s="307"/>
      <c r="AE18" s="307"/>
      <c r="AF18" s="307"/>
      <c r="AG18" s="307"/>
      <c r="AH18" s="381"/>
    </row>
    <row r="19" spans="1:34" x14ac:dyDescent="0.2">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x14ac:dyDescent="0.2">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x14ac:dyDescent="0.2">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x14ac:dyDescent="0.2">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Sesuai Rencana</v>
      </c>
      <c r="AB22" s="307" t="s">
        <v>54</v>
      </c>
      <c r="AC22" s="307"/>
      <c r="AD22" s="307"/>
      <c r="AE22" s="307"/>
      <c r="AF22" s="307"/>
      <c r="AG22" s="307"/>
      <c r="AH22" s="381"/>
    </row>
    <row r="23" spans="1:34" x14ac:dyDescent="0.2">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x14ac:dyDescent="0.2">
      <c r="A24" s="385">
        <f>A25+A26</f>
        <v>1</v>
      </c>
      <c r="B24" s="310" t="s">
        <v>162</v>
      </c>
      <c r="C24" s="310"/>
      <c r="D24" s="307"/>
      <c r="E24" s="309">
        <f>'RINCI 2'!J47+'RINCI 1'!J24</f>
        <v>6</v>
      </c>
      <c r="F24" s="310" t="s">
        <v>165</v>
      </c>
      <c r="G24" s="310"/>
      <c r="H24" s="307"/>
      <c r="I24" s="309">
        <f>'RINCI 2'!J46+'RINCI 1'!J23</f>
        <v>5</v>
      </c>
      <c r="J24" s="310" t="s">
        <v>166</v>
      </c>
      <c r="K24" s="307"/>
      <c r="L24" s="307"/>
      <c r="M24" s="309">
        <f>'RINCI 1'!J22+'RINCI 2'!J45</f>
        <v>29</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x14ac:dyDescent="0.2">
      <c r="A25" s="385">
        <f>'RINCI 1'!J25</f>
        <v>0</v>
      </c>
      <c r="B25" s="310" t="s">
        <v>163</v>
      </c>
      <c r="C25" s="310"/>
      <c r="D25" s="307"/>
      <c r="E25" s="309">
        <f>'RINCI 1'!J24</f>
        <v>1</v>
      </c>
      <c r="F25" s="310" t="s">
        <v>163</v>
      </c>
      <c r="G25" s="310"/>
      <c r="H25" s="307"/>
      <c r="I25" s="309">
        <f>'RINCI 1'!J23</f>
        <v>1</v>
      </c>
      <c r="J25" s="310" t="s">
        <v>163</v>
      </c>
      <c r="K25" s="307"/>
      <c r="L25" s="307"/>
      <c r="M25" s="309">
        <f>'RINCI 1'!J22</f>
        <v>7</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x14ac:dyDescent="0.2">
      <c r="A26" s="385">
        <f>'RINCI 2'!J48</f>
        <v>1</v>
      </c>
      <c r="B26" s="310" t="s">
        <v>164</v>
      </c>
      <c r="C26" s="310"/>
      <c r="D26" s="307"/>
      <c r="E26" s="385">
        <f>'RINCI 2'!J47</f>
        <v>5</v>
      </c>
      <c r="F26" s="310" t="s">
        <v>164</v>
      </c>
      <c r="G26" s="310"/>
      <c r="H26" s="307"/>
      <c r="I26" s="385">
        <f>'RINCI 2'!J46</f>
        <v>4</v>
      </c>
      <c r="J26" s="310" t="s">
        <v>164</v>
      </c>
      <c r="K26" s="307"/>
      <c r="L26" s="307"/>
      <c r="M26" s="309">
        <f>'RINCI 2'!J45</f>
        <v>22</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x14ac:dyDescent="0.2">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x14ac:dyDescent="0.2">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x14ac:dyDescent="0.2">
      <c r="A29" s="887" t="s">
        <v>186</v>
      </c>
      <c r="B29" s="886"/>
      <c r="C29" s="886"/>
      <c r="D29" s="886"/>
      <c r="E29" s="886" t="s">
        <v>187</v>
      </c>
      <c r="F29" s="886"/>
      <c r="G29" s="886"/>
      <c r="H29" s="886"/>
      <c r="I29" s="886" t="s">
        <v>188</v>
      </c>
      <c r="J29" s="886"/>
      <c r="K29" s="886"/>
      <c r="L29" s="886"/>
      <c r="M29" s="886" t="s">
        <v>209</v>
      </c>
      <c r="N29" s="886"/>
      <c r="O29" s="886"/>
      <c r="P29" s="886"/>
      <c r="Q29" s="384"/>
      <c r="R29" s="307"/>
      <c r="S29" s="307"/>
      <c r="T29" s="307"/>
      <c r="U29" s="307"/>
      <c r="V29" s="307"/>
      <c r="W29" s="307"/>
      <c r="X29" s="307"/>
      <c r="Y29" s="307"/>
      <c r="Z29" s="444">
        <v>28</v>
      </c>
      <c r="AA29" s="307" t="str">
        <f>IF('RINCI 2'!J36=0,"Kosong",IF('RINCI 2'!J36&lt;85,"Di Bawah Rencana",IF('RINCI 2'!J36&gt;100,"Di Atas Rencana","Sesuai Rencana")))</f>
        <v>Sesuai Rencana</v>
      </c>
      <c r="AB29" s="307" t="s">
        <v>61</v>
      </c>
      <c r="AC29" s="307"/>
      <c r="AD29" s="307"/>
      <c r="AE29" s="307"/>
      <c r="AF29" s="307"/>
      <c r="AG29" s="307"/>
      <c r="AH29" s="381"/>
    </row>
    <row r="30" spans="1:34" x14ac:dyDescent="0.2">
      <c r="A30" s="887" t="s">
        <v>189</v>
      </c>
      <c r="B30" s="886"/>
      <c r="C30" s="886" t="s">
        <v>190</v>
      </c>
      <c r="D30" s="886"/>
      <c r="E30" s="886" t="s">
        <v>189</v>
      </c>
      <c r="F30" s="886"/>
      <c r="G30" s="886" t="s">
        <v>190</v>
      </c>
      <c r="H30" s="886"/>
      <c r="I30" s="886" t="s">
        <v>189</v>
      </c>
      <c r="J30" s="886"/>
      <c r="K30" s="886" t="s">
        <v>190</v>
      </c>
      <c r="L30" s="886"/>
      <c r="M30" s="886" t="s">
        <v>189</v>
      </c>
      <c r="N30" s="886"/>
      <c r="O30" s="886" t="s">
        <v>190</v>
      </c>
      <c r="P30" s="886"/>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x14ac:dyDescent="0.2">
      <c r="A31" s="386" t="str">
        <f t="array" ref="A31">IF(ISERROR(INDEX($S$1:$T$10,SMALL(IF($S$1:$S$10=$W$1,ROW($S$1:$S$10)),ROW(1:1)),2)),"",INDEX($S$1:$T$10,SMALL(IF($S$1:$S$10=$W$1,ROW($S$1:$S$10)),ROW(1:1)),2))</f>
        <v/>
      </c>
      <c r="B31" s="311"/>
      <c r="C31" s="311" t="str">
        <f t="array" ref="C31">IF(ISERROR(INDEX($AA$1:$AB$33,SMALL(IF($AA$1:$AA$33=$AE$1,ROW($AA$1:$AA$33)),ROW(1:1)),2)),"",INDEX($AA$1:$AB$33,SMALL(IF($AA$1:$AA$33=$AE$1,ROW($AA$1:$AA$33)),ROW(1:1)),2))</f>
        <v>Simo</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Greneng</v>
      </c>
      <c r="H31" s="307"/>
      <c r="I31" s="307" t="str">
        <f t="array" ref="I31">IF(ISERROR(INDEX($S$1:$T$10,SMALL(IF($S$1:$S$10=$W$7,ROW($S$1:$S$10)),ROW(1:1)),2)),"",INDEX($S$1:$T$10,SMALL(IF($S$1:$S$10=$W$7,ROW($S$1:$S$10)),ROW(1:1)),2))</f>
        <v>Wadaslintang</v>
      </c>
      <c r="J31" s="307"/>
      <c r="K31" s="307" t="str">
        <f t="array" ref="K31">IF(ISERROR(INDEX($AA$1:$AB$33,SMALL(IF($AA$1:$AA$33=$AE$7,ROW($AA$1:$AA$33)),ROW(1:1)),2)),"",INDEX($AA$1:$AB$33,SMALL(IF($AA$1:$AA$33=$AE$7,ROW($AA$1:$AA$33)),ROW(1:1)),2))</f>
        <v>Penjalin</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Gembong</v>
      </c>
      <c r="P31" s="307"/>
      <c r="Q31" s="384"/>
      <c r="R31" s="307"/>
      <c r="S31" s="307"/>
      <c r="T31" s="307"/>
      <c r="U31" s="307"/>
      <c r="V31" s="307"/>
      <c r="W31" s="307"/>
      <c r="X31" s="307"/>
      <c r="Y31" s="307"/>
      <c r="Z31" s="444">
        <v>30</v>
      </c>
      <c r="AA31" s="307" t="str">
        <f>IF('RINCI 2'!J38=0,"Kosong",IF('RINCI 2'!J38&lt;85,"Di Bawah Rencana",IF('RINCI 2'!J38&gt;100,"Di Atas Rencana","Sesuai Rencana")))</f>
        <v>Di Atas Rencana</v>
      </c>
      <c r="AB31" s="307" t="s">
        <v>63</v>
      </c>
      <c r="AC31" s="307"/>
      <c r="AD31" s="307"/>
      <c r="AE31" s="307"/>
      <c r="AF31" s="307"/>
      <c r="AG31" s="307"/>
      <c r="AH31" s="381"/>
    </row>
    <row r="32" spans="1:34" x14ac:dyDescent="0.2">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
      </c>
      <c r="F32" s="307"/>
      <c r="G32" s="307" t="str">
        <f t="array" ref="G32">IF(ISERROR(INDEX($AA$1:$AB$33,SMALL(IF($AA$1:$AA$33=$AE$4,ROW($AA$1:$AA$33)),ROW(2:2)),2)),"",INDEX($AA$1:$AB$33,SMALL(IF($AA$1:$AA$33=$AE$4,ROW($AA$1:$AA$33)),ROW(2:2)),2))</f>
        <v>Lodanwetan</v>
      </c>
      <c r="H32" s="307"/>
      <c r="I32" s="307" t="str">
        <f t="array" ref="I32">IF(ISERROR(INDEX($S$1:$T$10,SMALL(IF($S$1:$S$10=$W$7,ROW($S$1:$S$10)),ROW(2:2)),2)),"",INDEX($S$1:$T$10,SMALL(IF($S$1:$S$10=$W$7,ROW($S$1:$S$10)),ROW(2:2)),2))</f>
        <v/>
      </c>
      <c r="J32" s="307"/>
      <c r="K32" s="307" t="str">
        <f t="array" ref="K32">IF(ISERROR(INDEX($AA$1:$AB$33,SMALL(IF($AA$1:$AA$33=$AE$7,ROW($AA$1:$AA$33)),ROW(2:2)),2)),"",INDEX($AA$1:$AB$33,SMALL(IF($AA$1:$AA$33=$AE$7,ROW($AA$1:$AA$33)),ROW(2:2)),2))</f>
        <v>Gebyar</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Gunungrowo</v>
      </c>
      <c r="P32" s="307"/>
      <c r="Q32" s="384"/>
      <c r="R32" s="307"/>
      <c r="S32" s="307"/>
      <c r="T32" s="307"/>
      <c r="U32" s="307"/>
      <c r="V32" s="307"/>
      <c r="W32" s="307"/>
      <c r="X32" s="307"/>
      <c r="Y32" s="307"/>
      <c r="Z32" s="444">
        <v>31</v>
      </c>
      <c r="AA32" s="307" t="str">
        <f>IF('RINCI 2'!J39=0,"Kosong",IF('RINCI 2'!J39&lt;85,"Di Bawah Rencana",IF('RINCI 2'!J39&gt;100,"Di Atas Rencana","Sesuai Rencana")))</f>
        <v>Di Atas Rencana</v>
      </c>
      <c r="AB32" s="307" t="s">
        <v>231</v>
      </c>
      <c r="AC32" s="307"/>
      <c r="AD32" s="307"/>
      <c r="AE32" s="307"/>
      <c r="AF32" s="307"/>
      <c r="AG32" s="307"/>
      <c r="AH32" s="381"/>
    </row>
    <row r="33" spans="1:34" x14ac:dyDescent="0.2">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
      </c>
      <c r="F33" s="307"/>
      <c r="G33" s="307" t="str">
        <f t="array" ref="G33">IF(ISERROR(INDEX($AA$1:$AB$33,SMALL(IF($AA$1:$AA$33=$AE$4,ROW($AA$1:$AA$33)),ROW(3:3)),2)),"",INDEX($AA$1:$AB$33,SMALL(IF($AA$1:$AA$33=$AE$4,ROW($AA$1:$AA$33)),ROW(3:3)),2))</f>
        <v>Nglangon</v>
      </c>
      <c r="H33" s="307"/>
      <c r="I33" s="307" t="str">
        <f t="array" ref="I33">IF(ISERROR(INDEX($S$1:$T$10,SMALL(IF($S$1:$S$10=$W$7,ROW($S$1:$S$10)),ROW(3:3)),2)),"",INDEX($S$1:$T$10,SMALL(IF($S$1:$S$10=$W$7,ROW($S$1:$S$10)),ROW(3:3)),2))</f>
        <v/>
      </c>
      <c r="J33" s="307"/>
      <c r="K33" s="307" t="str">
        <f t="array" ref="K33">IF(ISERROR(INDEX($AA$1:$AB$33,SMALL(IF($AA$1:$AA$33=$AE$7,ROW($AA$1:$AA$33)),ROW(3:3)),2)),"",INDEX($AA$1:$AB$33,SMALL(IF($AA$1:$AA$33=$AE$7,ROW($AA$1:$AA$33)),ROW(3:3)),2))</f>
        <v>Klego</v>
      </c>
      <c r="L33" s="307"/>
      <c r="M33" s="380" t="str">
        <f t="array" ref="M33">IF(ISERROR(INDEX($S$1:$T$10,SMALL(IF($S$1:$S$10=$W$10,ROW($S$1:$S$10)),ROW(3:3)),2)),"",INDEX($S$1:$T$10,SMALL(IF($S$1:$S$10=$W$10,ROW($S$1:$S$10)),ROW(3:3)),2))</f>
        <v>Rawapening</v>
      </c>
      <c r="N33" s="307"/>
      <c r="O33" s="307" t="str">
        <f t="array" ref="O33">IF(ISERROR(INDEX($AA$1:$AB$33,SMALL(IF($AA$1:$AA$33=$AE$10,ROW($AA$1:$AA$33)),ROW(3:3)),2)),"",INDEX($AA$1:$AB$33,SMALL(IF($AA$1:$AA$33=$AE$10,ROW($AA$1:$AA$33)),ROW(3:3)),2))</f>
        <v>Tempuran</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x14ac:dyDescent="0.2">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Butak</v>
      </c>
      <c r="H34" s="307"/>
      <c r="I34" s="307" t="str">
        <f t="array" ref="I34">IF(ISERROR(INDEX($S$1:$T$10,SMALL(IF($S$1:$S$10=$W$7,ROW($S$1:$S$10)),ROW(4:4)),2)),"",INDEX($S$1:$T$10,SMALL(IF($S$1:$S$10=$W$7,ROW($S$1:$S$10)),ROW(4:4)),2))</f>
        <v/>
      </c>
      <c r="J34" s="307"/>
      <c r="K34" s="307" t="str">
        <f t="array" ref="K34">IF(ISERROR(INDEX($AA$1:$AB$33,SMALL(IF($AA$1:$AA$33=$AE$7,ROW($AA$1:$AA$33)),ROW(4:4)),2)),"",INDEX($AA$1:$AB$33,SMALL(IF($AA$1:$AA$33=$AE$7,ROW($AA$1:$AA$33)),ROW(4:4)),2))</f>
        <v>Panohan</v>
      </c>
      <c r="L34" s="307"/>
      <c r="M34" s="380" t="str">
        <f t="array" ref="M34">IF(ISERROR(INDEX($S$1:$T$10,SMALL(IF($S$1:$S$10=$W$10,ROW($S$1:$S$10)),ROW(4:4)),2)),"",INDEX($S$1:$T$10,SMALL(IF($S$1:$S$10=$W$10,ROW($S$1:$S$10)),ROW(4:4)),2))</f>
        <v>Wonogiri</v>
      </c>
      <c r="N34" s="307"/>
      <c r="O34" s="307" t="str">
        <f t="array" ref="O34">IF(ISERROR(INDEX($AA$1:$AB$33,SMALL(IF($AA$1:$AA$33=$AE$10,ROW($AA$1:$AA$33)),ROW(4:4)),2)),"",INDEX($AA$1:$AB$33,SMALL(IF($AA$1:$AA$33=$AE$10,ROW($AA$1:$AA$33)),ROW(4:4)),2))</f>
        <v>Banyukuwung</v>
      </c>
      <c r="P34" s="307"/>
      <c r="Q34" s="384"/>
      <c r="R34" s="307"/>
      <c r="S34" s="307"/>
      <c r="T34" s="307"/>
      <c r="U34" s="307"/>
      <c r="V34" s="307"/>
      <c r="W34" s="307"/>
      <c r="X34" s="307"/>
      <c r="Y34" s="307"/>
      <c r="Z34" s="307"/>
      <c r="AA34" s="307"/>
      <c r="AB34" s="307"/>
      <c r="AC34" s="307"/>
      <c r="AD34" s="307"/>
      <c r="AE34" s="307"/>
      <c r="AF34" s="307"/>
      <c r="AG34" s="307"/>
      <c r="AH34" s="381"/>
    </row>
    <row r="35" spans="1:34" x14ac:dyDescent="0.2">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Plumbon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
      </c>
      <c r="L35" s="307"/>
      <c r="M35" s="380" t="str">
        <f t="array" ref="M35">IF(ISERROR(INDEX($S$1:$T$10,SMALL(IF($S$1:$S$10=$W$10,ROW($S$1:$S$10)),ROW(5:5)),2)),"",INDEX($S$1:$T$10,SMALL(IF($S$1:$S$10=$W$10,ROW($S$1:$S$10)),ROW(5:5)),2))</f>
        <v>Sempor</v>
      </c>
      <c r="N35" s="307"/>
      <c r="O35" s="307" t="str">
        <f t="array" ref="O35">IF(ISERROR(INDEX($AA$1:$AB$33,SMALL(IF($AA$1:$AA$33=$AE$10,ROW($AA$1:$AA$33)),ROW(5:5)),2)),"",INDEX($AA$1:$AB$33,SMALL(IF($AA$1:$AA$33=$AE$10,ROW($AA$1:$AA$33)),ROW(5:5)),2))</f>
        <v>Sanggeh</v>
      </c>
      <c r="P35" s="307"/>
      <c r="Q35" s="384"/>
      <c r="R35" s="307"/>
      <c r="S35" s="307"/>
      <c r="T35" s="307"/>
      <c r="U35" s="307"/>
      <c r="V35" s="307"/>
      <c r="W35" s="307"/>
      <c r="X35" s="307"/>
      <c r="Y35" s="307"/>
      <c r="Z35" s="307"/>
      <c r="AA35" s="307"/>
      <c r="AB35" s="307"/>
      <c r="AC35" s="307"/>
      <c r="AD35" s="307"/>
      <c r="AE35" s="307"/>
      <c r="AF35" s="307"/>
      <c r="AG35" s="307"/>
      <c r="AH35" s="381"/>
    </row>
    <row r="36" spans="1:34" x14ac:dyDescent="0.2">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Sudirman</v>
      </c>
      <c r="N36" s="307"/>
      <c r="O36" s="307" t="str">
        <f t="array" ref="O36">IF(ISERROR(INDEX($AA$1:$AB$33,SMALL(IF($AA$1:$AA$33=$AE$10,ROW($AA$1:$AA$33)),ROW(6:6)),2)),"",INDEX($AA$1:$AB$33,SMALL(IF($AA$1:$AA$33=$AE$10,ROW($AA$1:$AA$33)),ROW(6:6)),2))</f>
        <v>Krisak</v>
      </c>
      <c r="P36" s="307"/>
      <c r="Q36" s="384"/>
      <c r="R36" s="307"/>
      <c r="S36" s="307"/>
      <c r="T36" s="307"/>
      <c r="U36" s="307"/>
      <c r="V36" s="307"/>
      <c r="W36" s="307"/>
      <c r="X36" s="307"/>
      <c r="Y36" s="307"/>
      <c r="Z36" s="307"/>
      <c r="AA36" s="307"/>
      <c r="AB36" s="307"/>
      <c r="AC36" s="307"/>
      <c r="AD36" s="307"/>
      <c r="AE36" s="307"/>
      <c r="AF36" s="307"/>
      <c r="AG36" s="307"/>
      <c r="AH36" s="381"/>
    </row>
    <row r="37" spans="1:34" x14ac:dyDescent="0.2">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Jatibarang</v>
      </c>
      <c r="N37" s="307"/>
      <c r="O37" s="307" t="str">
        <f t="array" ref="O37">IF(ISERROR(INDEX($AA$1:$AB$33,SMALL(IF($AA$1:$AA$33=$AE$10,ROW($AA$1:$AA$33)),ROW(7:7)),2)),"",INDEX($AA$1:$AB$33,SMALL(IF($AA$1:$AA$33=$AE$10,ROW($AA$1:$AA$33)),ROW(7:7)),2))</f>
        <v>Songputri</v>
      </c>
      <c r="P37" s="307"/>
      <c r="Q37" s="384"/>
      <c r="R37" s="307"/>
      <c r="S37" s="307"/>
      <c r="T37" s="307"/>
      <c r="U37" s="307"/>
      <c r="V37" s="307"/>
      <c r="W37" s="307"/>
      <c r="X37" s="307"/>
      <c r="Y37" s="307"/>
      <c r="Z37" s="307"/>
      <c r="AA37" s="307"/>
      <c r="AB37" s="307"/>
      <c r="AC37" s="307"/>
      <c r="AD37" s="307"/>
      <c r="AE37" s="307"/>
      <c r="AF37" s="307"/>
      <c r="AG37" s="307"/>
      <c r="AH37" s="381"/>
    </row>
    <row r="38" spans="1:34" x14ac:dyDescent="0.2">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Parangjoho</v>
      </c>
      <c r="P38" s="307"/>
      <c r="Q38" s="384"/>
      <c r="R38" s="307"/>
      <c r="S38" s="307"/>
      <c r="T38" s="307"/>
      <c r="U38" s="307"/>
      <c r="V38" s="307"/>
      <c r="W38" s="307"/>
      <c r="X38" s="307"/>
      <c r="Y38" s="307"/>
      <c r="Z38" s="307"/>
      <c r="AA38" s="307"/>
      <c r="AB38" s="307"/>
      <c r="AC38" s="307"/>
      <c r="AD38" s="307"/>
      <c r="AE38" s="307"/>
      <c r="AF38" s="307"/>
      <c r="AG38" s="307"/>
      <c r="AH38" s="381"/>
    </row>
    <row r="39" spans="1:34" x14ac:dyDescent="0.2">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Kedunguling</v>
      </c>
      <c r="P39" s="307"/>
      <c r="Q39" s="384"/>
      <c r="R39" s="307"/>
      <c r="S39" s="307"/>
      <c r="T39" s="307"/>
      <c r="U39" s="307"/>
      <c r="V39" s="307"/>
      <c r="W39" s="307"/>
      <c r="X39" s="307"/>
      <c r="Y39" s="307"/>
      <c r="Z39" s="307"/>
      <c r="AA39" s="307"/>
      <c r="AB39" s="307"/>
      <c r="AC39" s="307"/>
      <c r="AD39" s="307"/>
      <c r="AE39" s="307"/>
      <c r="AF39" s="307"/>
      <c r="AG39" s="307"/>
      <c r="AH39" s="381"/>
    </row>
    <row r="40" spans="1:34" x14ac:dyDescent="0.2">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Nawangan</v>
      </c>
      <c r="P40" s="307"/>
      <c r="Q40" s="384"/>
      <c r="R40" s="307"/>
      <c r="S40" s="307"/>
      <c r="T40" s="307"/>
      <c r="U40" s="307"/>
      <c r="V40" s="307"/>
      <c r="W40" s="307"/>
      <c r="X40" s="307"/>
      <c r="Y40" s="307"/>
      <c r="Z40" s="307"/>
      <c r="AA40" s="307"/>
      <c r="AB40" s="307"/>
      <c r="AC40" s="307"/>
      <c r="AD40" s="307"/>
      <c r="AE40" s="307"/>
      <c r="AF40" s="307"/>
      <c r="AG40" s="307"/>
      <c r="AH40" s="381"/>
    </row>
    <row r="41" spans="1:34" x14ac:dyDescent="0.2">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Ngancar</v>
      </c>
      <c r="P41" s="307"/>
      <c r="Q41" s="384"/>
      <c r="R41" s="307"/>
      <c r="S41" s="307"/>
      <c r="T41" s="307"/>
      <c r="U41" s="307"/>
      <c r="V41" s="307"/>
      <c r="W41" s="307"/>
      <c r="X41" s="307"/>
      <c r="Y41" s="307"/>
      <c r="Z41" s="307"/>
      <c r="AA41" s="307"/>
      <c r="AB41" s="307"/>
      <c r="AC41" s="307"/>
      <c r="AD41" s="307"/>
      <c r="AE41" s="307"/>
      <c r="AF41" s="307"/>
      <c r="AG41" s="307"/>
      <c r="AH41" s="381"/>
    </row>
    <row r="42" spans="1:34" x14ac:dyDescent="0.2">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Lalung</v>
      </c>
      <c r="P42" s="448"/>
      <c r="Q42" s="384"/>
      <c r="R42" s="307"/>
      <c r="S42" s="307"/>
      <c r="T42" s="307"/>
      <c r="U42" s="307"/>
      <c r="V42" s="307"/>
      <c r="W42" s="307"/>
      <c r="X42" s="307"/>
      <c r="Y42" s="307"/>
      <c r="Z42" s="307"/>
      <c r="AA42" s="307"/>
      <c r="AB42" s="307"/>
      <c r="AC42" s="307"/>
      <c r="AD42" s="307"/>
      <c r="AE42" s="307"/>
      <c r="AF42" s="307"/>
      <c r="AG42" s="307"/>
      <c r="AH42" s="381"/>
    </row>
    <row r="43" spans="1:34" x14ac:dyDescent="0.2">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Delingan</v>
      </c>
      <c r="P43" s="448"/>
      <c r="Q43" s="384"/>
      <c r="R43" s="307"/>
      <c r="S43" s="307"/>
      <c r="T43" s="307"/>
      <c r="U43" s="307"/>
      <c r="V43" s="307"/>
      <c r="W43" s="307"/>
      <c r="X43" s="307"/>
      <c r="Y43" s="307"/>
      <c r="Z43" s="307"/>
      <c r="AA43" s="307"/>
      <c r="AB43" s="307"/>
      <c r="AC43" s="307"/>
      <c r="AD43" s="307"/>
      <c r="AE43" s="307"/>
      <c r="AF43" s="307"/>
      <c r="AG43" s="307"/>
      <c r="AH43" s="381"/>
    </row>
    <row r="44" spans="1:34" x14ac:dyDescent="0.2">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Kembangan</v>
      </c>
      <c r="P44" s="448"/>
      <c r="Q44" s="384"/>
      <c r="R44" s="307"/>
      <c r="S44" s="307"/>
      <c r="T44" s="307"/>
      <c r="U44" s="307"/>
      <c r="V44" s="307"/>
      <c r="W44" s="307"/>
      <c r="X44" s="307"/>
      <c r="Y44" s="307"/>
      <c r="Z44" s="307"/>
      <c r="AA44" s="307"/>
      <c r="AB44" s="307"/>
      <c r="AC44" s="307"/>
      <c r="AD44" s="307"/>
      <c r="AE44" s="307"/>
      <c r="AF44" s="307"/>
      <c r="AG44" s="307"/>
      <c r="AH44" s="381"/>
    </row>
    <row r="45" spans="1:34" x14ac:dyDescent="0.2">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Botok</v>
      </c>
      <c r="P45" s="448"/>
      <c r="Q45" s="384"/>
      <c r="R45" s="307"/>
      <c r="S45" s="307"/>
      <c r="T45" s="307"/>
      <c r="U45" s="307"/>
      <c r="V45" s="307"/>
      <c r="W45" s="307"/>
      <c r="X45" s="307"/>
      <c r="Y45" s="307"/>
      <c r="Z45" s="307"/>
      <c r="AA45" s="307"/>
      <c r="AB45" s="307"/>
      <c r="AC45" s="307"/>
      <c r="AD45" s="307"/>
      <c r="AE45" s="307"/>
      <c r="AF45" s="307"/>
      <c r="AG45" s="307"/>
      <c r="AH45" s="381"/>
    </row>
    <row r="46" spans="1:34" x14ac:dyDescent="0.2">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Ketro</v>
      </c>
      <c r="P46" s="448"/>
      <c r="Q46" s="384"/>
      <c r="R46" s="307"/>
      <c r="S46" s="307"/>
      <c r="T46" s="307"/>
      <c r="U46" s="307"/>
      <c r="V46" s="307"/>
      <c r="W46" s="307"/>
      <c r="X46" s="307"/>
      <c r="Y46" s="307"/>
      <c r="Z46" s="307"/>
      <c r="AA46" s="307"/>
      <c r="AB46" s="307"/>
      <c r="AC46" s="307"/>
      <c r="AD46" s="307"/>
      <c r="AE46" s="307"/>
      <c r="AF46" s="307"/>
      <c r="AG46" s="307"/>
      <c r="AH46" s="381"/>
    </row>
    <row r="47" spans="1:34" x14ac:dyDescent="0.2">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Blimbing</v>
      </c>
      <c r="P47" s="448"/>
      <c r="Q47" s="384"/>
      <c r="R47" s="307"/>
      <c r="S47" s="307"/>
      <c r="T47" s="307"/>
      <c r="U47" s="307"/>
      <c r="V47" s="307"/>
      <c r="W47" s="307"/>
      <c r="X47" s="307"/>
      <c r="Y47" s="307"/>
      <c r="Z47" s="307"/>
      <c r="AA47" s="307"/>
      <c r="AB47" s="307"/>
      <c r="AC47" s="307"/>
      <c r="AD47" s="307"/>
      <c r="AE47" s="307"/>
      <c r="AF47" s="307"/>
      <c r="AG47" s="307"/>
      <c r="AH47" s="381"/>
    </row>
    <row r="48" spans="1:34" ht="13.5" thickBot="1" x14ac:dyDescent="0.25">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Brambang</v>
      </c>
      <c r="P48" s="307"/>
      <c r="Q48" s="384"/>
      <c r="R48" s="387"/>
      <c r="S48" s="387"/>
      <c r="T48" s="387"/>
      <c r="U48" s="387"/>
      <c r="V48" s="387"/>
      <c r="W48" s="387"/>
      <c r="X48" s="387"/>
      <c r="Y48" s="387"/>
      <c r="Z48" s="307"/>
      <c r="AA48" s="307"/>
      <c r="AB48" s="307"/>
      <c r="AC48" s="387"/>
      <c r="AD48" s="387"/>
      <c r="AE48" s="387"/>
      <c r="AF48" s="387"/>
      <c r="AG48" s="387"/>
      <c r="AH48" s="381"/>
    </row>
    <row r="49" spans="1:34" ht="13.5" thickBot="1" x14ac:dyDescent="0.25">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Cengklik</v>
      </c>
      <c r="Q49" s="384"/>
      <c r="Z49" s="387"/>
      <c r="AA49" s="387"/>
      <c r="AB49" s="387"/>
      <c r="AH49" s="381"/>
    </row>
    <row r="50" spans="1:34" x14ac:dyDescent="0.2">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Jombor</v>
      </c>
      <c r="Q50" s="384"/>
      <c r="AH50" s="381"/>
    </row>
    <row r="51" spans="1:34" x14ac:dyDescent="0.2">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Mulur</v>
      </c>
      <c r="P51" s="381"/>
      <c r="Q51" s="384"/>
      <c r="AH51" s="381"/>
    </row>
    <row r="52" spans="1:34" x14ac:dyDescent="0.2">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Grawan</v>
      </c>
      <c r="P52" s="381"/>
      <c r="Q52" s="384"/>
      <c r="AH52" s="381"/>
    </row>
    <row r="53" spans="1:34" x14ac:dyDescent="0.2">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x14ac:dyDescent="0.2">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x14ac:dyDescent="0.2">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x14ac:dyDescent="0.25">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49"/>
      <c r="Q56" s="384"/>
      <c r="AH56" s="381"/>
    </row>
    <row r="57" spans="1:34" x14ac:dyDescent="0.2">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x14ac:dyDescent="0.2">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x14ac:dyDescent="0.2">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x14ac:dyDescent="0.2">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x14ac:dyDescent="0.2">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x14ac:dyDescent="0.2">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x14ac:dyDescent="0.2">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x14ac:dyDescent="0.2">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x14ac:dyDescent="0.2">
      <c r="O65" s="307" t="str">
        <f t="array" ref="O65">IF(ISERROR(INDEX($AA$1:$AB$33,SMALL(IF($AA$1:$AA$33=$AE$10,ROW($AA$1:$AA$33)),ROW(34:34)),2)),"",INDEX($AA$1:$AB$33,SMALL(IF($AA$1:$AA$33=$AE$10,ROW($AA$1:$AA$33)),ROW(34:34)),2))</f>
        <v/>
      </c>
    </row>
    <row r="66" spans="15:15" x14ac:dyDescent="0.2">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22" workbookViewId="0">
      <selection activeCell="L43" sqref="L43"/>
    </sheetView>
  </sheetViews>
  <sheetFormatPr defaultRowHeight="12.75" x14ac:dyDescent="0.2"/>
  <sheetData>
    <row r="2" spans="2:10" ht="13.5" thickBot="1" x14ac:dyDescent="0.25"/>
    <row r="3" spans="2:10" ht="13.5" thickTop="1" x14ac:dyDescent="0.2">
      <c r="B3" s="314"/>
      <c r="C3" s="315"/>
      <c r="D3" s="315"/>
      <c r="E3" s="315"/>
      <c r="F3" s="315"/>
      <c r="G3" s="315"/>
      <c r="H3" s="315"/>
      <c r="I3" s="315"/>
      <c r="J3" s="316"/>
    </row>
    <row r="4" spans="2:10" x14ac:dyDescent="0.2">
      <c r="B4" s="317"/>
      <c r="C4" s="318"/>
      <c r="D4" s="318"/>
      <c r="E4" s="318"/>
      <c r="F4" s="318"/>
      <c r="G4" s="318"/>
      <c r="H4" s="318"/>
      <c r="I4" s="318"/>
      <c r="J4" s="319"/>
    </row>
    <row r="5" spans="2:10" x14ac:dyDescent="0.2">
      <c r="B5" s="317"/>
      <c r="C5" s="318"/>
      <c r="D5" s="318"/>
      <c r="E5" s="318"/>
      <c r="F5" s="318"/>
      <c r="G5" s="318"/>
      <c r="H5" s="318"/>
      <c r="I5" s="318"/>
      <c r="J5" s="319"/>
    </row>
    <row r="6" spans="2:10" x14ac:dyDescent="0.2">
      <c r="B6" s="317"/>
      <c r="C6" s="318"/>
      <c r="D6" s="318"/>
      <c r="E6" s="318"/>
      <c r="F6" s="318"/>
      <c r="G6" s="318"/>
      <c r="H6" s="318"/>
      <c r="I6" s="318"/>
      <c r="J6" s="319"/>
    </row>
    <row r="7" spans="2:10" x14ac:dyDescent="0.2">
      <c r="B7" s="317"/>
      <c r="C7" s="318"/>
      <c r="D7" s="318"/>
      <c r="E7" s="318"/>
      <c r="F7" s="318"/>
      <c r="G7" s="318"/>
      <c r="H7" s="318"/>
      <c r="I7" s="318"/>
      <c r="J7" s="319"/>
    </row>
    <row r="8" spans="2:10" x14ac:dyDescent="0.2">
      <c r="B8" s="317"/>
      <c r="C8" s="318"/>
      <c r="D8" s="318"/>
      <c r="E8" s="318"/>
      <c r="F8" s="318"/>
      <c r="G8" s="318"/>
      <c r="H8" s="318"/>
      <c r="I8" s="318"/>
      <c r="J8" s="319"/>
    </row>
    <row r="9" spans="2:10" x14ac:dyDescent="0.2">
      <c r="B9" s="317"/>
      <c r="C9" s="318"/>
      <c r="D9" s="318"/>
      <c r="E9" s="318"/>
      <c r="F9" s="318"/>
      <c r="G9" s="318"/>
      <c r="H9" s="318"/>
      <c r="I9" s="318"/>
      <c r="J9" s="319"/>
    </row>
    <row r="10" spans="2:10" x14ac:dyDescent="0.2">
      <c r="B10" s="317"/>
      <c r="C10" s="318"/>
      <c r="D10" s="318"/>
      <c r="E10" s="318"/>
      <c r="F10" s="318"/>
      <c r="G10" s="318"/>
      <c r="H10" s="318"/>
      <c r="I10" s="318"/>
      <c r="J10" s="319"/>
    </row>
    <row r="11" spans="2:10" x14ac:dyDescent="0.2">
      <c r="B11" s="317"/>
      <c r="C11" s="318"/>
      <c r="D11" s="318"/>
      <c r="E11" s="318"/>
      <c r="F11" s="318"/>
      <c r="G11" s="318"/>
      <c r="H11" s="318"/>
      <c r="I11" s="318"/>
      <c r="J11" s="319"/>
    </row>
    <row r="12" spans="2:10" ht="26.25" x14ac:dyDescent="0.4">
      <c r="B12" s="892" t="s">
        <v>208</v>
      </c>
      <c r="C12" s="893"/>
      <c r="D12" s="893"/>
      <c r="E12" s="893"/>
      <c r="F12" s="893"/>
      <c r="G12" s="893"/>
      <c r="H12" s="893"/>
      <c r="I12" s="893"/>
      <c r="J12" s="894"/>
    </row>
    <row r="13" spans="2:10" ht="26.25" x14ac:dyDescent="0.4">
      <c r="B13" s="892" t="s">
        <v>193</v>
      </c>
      <c r="C13" s="893"/>
      <c r="D13" s="893"/>
      <c r="E13" s="893"/>
      <c r="F13" s="893"/>
      <c r="G13" s="893"/>
      <c r="H13" s="893"/>
      <c r="I13" s="893"/>
      <c r="J13" s="894"/>
    </row>
    <row r="14" spans="2:10" ht="26.25" x14ac:dyDescent="0.4">
      <c r="B14" s="892" t="s">
        <v>194</v>
      </c>
      <c r="C14" s="893"/>
      <c r="D14" s="893"/>
      <c r="E14" s="893"/>
      <c r="F14" s="893"/>
      <c r="G14" s="893"/>
      <c r="H14" s="893"/>
      <c r="I14" s="893"/>
      <c r="J14" s="894"/>
    </row>
    <row r="15" spans="2:10" x14ac:dyDescent="0.2">
      <c r="B15" s="317"/>
      <c r="C15" s="318"/>
      <c r="D15" s="318"/>
      <c r="E15" s="318"/>
      <c r="F15" s="318"/>
      <c r="G15" s="318"/>
      <c r="H15" s="318"/>
      <c r="I15" s="318"/>
      <c r="J15" s="319"/>
    </row>
    <row r="16" spans="2:10" x14ac:dyDescent="0.2">
      <c r="B16" s="317"/>
      <c r="C16" s="318"/>
      <c r="D16" s="318"/>
      <c r="E16" s="318"/>
      <c r="F16" s="318"/>
      <c r="G16" s="318"/>
      <c r="H16" s="318"/>
      <c r="I16" s="318"/>
      <c r="J16" s="319"/>
    </row>
    <row r="17" spans="2:10" x14ac:dyDescent="0.2">
      <c r="B17" s="317"/>
      <c r="C17" s="318"/>
      <c r="D17" s="318"/>
      <c r="E17" s="318"/>
      <c r="F17" s="318"/>
      <c r="G17" s="318"/>
      <c r="H17" s="318"/>
      <c r="I17" s="318"/>
      <c r="J17" s="319"/>
    </row>
    <row r="18" spans="2:10" x14ac:dyDescent="0.2">
      <c r="B18" s="317"/>
      <c r="C18" s="318"/>
      <c r="D18" s="318"/>
      <c r="E18" s="318"/>
      <c r="F18" s="318"/>
      <c r="G18" s="318"/>
      <c r="H18" s="318"/>
      <c r="I18" s="318"/>
      <c r="J18" s="319"/>
    </row>
    <row r="19" spans="2:10" x14ac:dyDescent="0.2">
      <c r="B19" s="317"/>
      <c r="C19" s="318"/>
      <c r="D19" s="318"/>
      <c r="E19" s="318"/>
      <c r="F19" s="318"/>
      <c r="G19" s="318"/>
      <c r="H19" s="318"/>
      <c r="I19" s="318"/>
      <c r="J19" s="319"/>
    </row>
    <row r="20" spans="2:10" x14ac:dyDescent="0.2">
      <c r="B20" s="317"/>
      <c r="C20" s="318"/>
      <c r="D20" s="318"/>
      <c r="E20" s="318"/>
      <c r="F20" s="318"/>
      <c r="G20" s="318"/>
      <c r="H20" s="318"/>
      <c r="I20" s="318"/>
      <c r="J20" s="319"/>
    </row>
    <row r="21" spans="2:10" x14ac:dyDescent="0.2">
      <c r="B21" s="317"/>
      <c r="C21" s="318"/>
      <c r="D21" s="318"/>
      <c r="E21" s="318"/>
      <c r="F21" s="318"/>
      <c r="G21" s="318"/>
      <c r="H21" s="318"/>
      <c r="I21" s="318"/>
      <c r="J21" s="319"/>
    </row>
    <row r="22" spans="2:10" x14ac:dyDescent="0.2">
      <c r="B22" s="317"/>
      <c r="C22" s="318"/>
      <c r="D22" s="318"/>
      <c r="E22" s="318"/>
      <c r="F22" s="318"/>
      <c r="G22" s="318"/>
      <c r="H22" s="318"/>
      <c r="I22" s="318"/>
      <c r="J22" s="319"/>
    </row>
    <row r="23" spans="2:10" x14ac:dyDescent="0.2">
      <c r="B23" s="317"/>
      <c r="C23" s="318"/>
      <c r="D23" s="318"/>
      <c r="E23" s="318"/>
      <c r="F23" s="318"/>
      <c r="G23" s="318"/>
      <c r="H23" s="318"/>
      <c r="I23" s="318"/>
      <c r="J23" s="319"/>
    </row>
    <row r="24" spans="2:10" x14ac:dyDescent="0.2">
      <c r="B24" s="317"/>
      <c r="C24" s="318"/>
      <c r="D24" s="318"/>
      <c r="E24" s="318"/>
      <c r="F24" s="318"/>
      <c r="G24" s="318"/>
      <c r="H24" s="318"/>
      <c r="I24" s="318"/>
      <c r="J24" s="319"/>
    </row>
    <row r="25" spans="2:10" x14ac:dyDescent="0.2">
      <c r="B25" s="317"/>
      <c r="C25" s="318"/>
      <c r="D25" s="318"/>
      <c r="E25" s="318"/>
      <c r="F25" s="318"/>
      <c r="G25" s="318"/>
      <c r="H25" s="318"/>
      <c r="I25" s="318"/>
      <c r="J25" s="319"/>
    </row>
    <row r="26" spans="2:10" x14ac:dyDescent="0.2">
      <c r="B26" s="317"/>
      <c r="C26" s="318"/>
      <c r="D26" s="318"/>
      <c r="E26" s="318"/>
      <c r="F26" s="318"/>
      <c r="G26" s="318"/>
      <c r="H26" s="318"/>
      <c r="I26" s="318"/>
      <c r="J26" s="319"/>
    </row>
    <row r="27" spans="2:10" ht="12.75" customHeight="1" x14ac:dyDescent="0.2">
      <c r="B27" s="317"/>
      <c r="C27" s="318"/>
      <c r="D27" s="318"/>
      <c r="E27" s="318"/>
      <c r="F27" s="318"/>
      <c r="G27" s="318"/>
      <c r="H27" s="318"/>
      <c r="I27" s="318"/>
      <c r="J27" s="319"/>
    </row>
    <row r="28" spans="2:10" ht="12.75" customHeight="1" x14ac:dyDescent="0.2">
      <c r="B28" s="317"/>
      <c r="C28" s="318"/>
      <c r="D28" s="318"/>
      <c r="E28" s="318"/>
      <c r="F28" s="318"/>
      <c r="G28" s="318"/>
      <c r="H28" s="318"/>
      <c r="I28" s="318"/>
      <c r="J28" s="319"/>
    </row>
    <row r="29" spans="2:10" ht="12.75" customHeight="1" x14ac:dyDescent="0.2">
      <c r="B29" s="317"/>
      <c r="C29" s="318"/>
      <c r="D29" s="318"/>
      <c r="E29" s="318"/>
      <c r="F29" s="318"/>
      <c r="G29" s="318"/>
      <c r="H29" s="318"/>
      <c r="I29" s="318"/>
      <c r="J29" s="319"/>
    </row>
    <row r="30" spans="2:10" ht="12.75" customHeight="1" x14ac:dyDescent="0.2">
      <c r="B30" s="317"/>
      <c r="C30" s="318"/>
      <c r="D30" s="318"/>
      <c r="E30" s="318"/>
      <c r="F30" s="318"/>
      <c r="G30" s="318"/>
      <c r="H30" s="318"/>
      <c r="I30" s="318"/>
      <c r="J30" s="319"/>
    </row>
    <row r="31" spans="2:10" x14ac:dyDescent="0.2">
      <c r="B31" s="317"/>
      <c r="C31" s="318"/>
      <c r="D31" s="318"/>
      <c r="E31" s="318"/>
      <c r="F31" s="318"/>
      <c r="G31" s="318"/>
      <c r="H31" s="318"/>
      <c r="I31" s="318"/>
      <c r="J31" s="319"/>
    </row>
    <row r="32" spans="2:10" x14ac:dyDescent="0.2">
      <c r="B32" s="317"/>
      <c r="C32" s="318"/>
      <c r="D32" s="318"/>
      <c r="E32" s="318"/>
      <c r="F32" s="318"/>
      <c r="G32" s="318"/>
      <c r="H32" s="318"/>
      <c r="I32" s="318"/>
      <c r="J32" s="319"/>
    </row>
    <row r="33" spans="2:10" x14ac:dyDescent="0.2">
      <c r="B33" s="317"/>
      <c r="C33" s="318"/>
      <c r="D33" s="318"/>
      <c r="E33" s="318"/>
      <c r="F33" s="318"/>
      <c r="G33" s="318"/>
      <c r="H33" s="318"/>
      <c r="I33" s="318"/>
      <c r="J33" s="319"/>
    </row>
    <row r="34" spans="2:10" x14ac:dyDescent="0.2">
      <c r="B34" s="317"/>
      <c r="C34" s="318"/>
      <c r="D34" s="318"/>
      <c r="E34" s="318"/>
      <c r="F34" s="318"/>
      <c r="G34" s="318"/>
      <c r="H34" s="318"/>
      <c r="I34" s="318"/>
      <c r="J34" s="319"/>
    </row>
    <row r="35" spans="2:10" x14ac:dyDescent="0.2">
      <c r="B35" s="317"/>
      <c r="C35" s="318"/>
      <c r="D35" s="318"/>
      <c r="E35" s="318"/>
      <c r="F35" s="318"/>
      <c r="G35" s="318"/>
      <c r="H35" s="318"/>
      <c r="I35" s="318"/>
      <c r="J35" s="319"/>
    </row>
    <row r="36" spans="2:10" x14ac:dyDescent="0.2">
      <c r="B36" s="317"/>
      <c r="C36" s="318"/>
      <c r="D36" s="318"/>
      <c r="E36" s="318"/>
      <c r="F36" s="318"/>
      <c r="G36" s="318"/>
      <c r="H36" s="318"/>
      <c r="I36" s="318"/>
      <c r="J36" s="319"/>
    </row>
    <row r="37" spans="2:10" ht="20.25" x14ac:dyDescent="0.3">
      <c r="B37" s="895" t="s">
        <v>313</v>
      </c>
      <c r="C37" s="896"/>
      <c r="D37" s="896"/>
      <c r="E37" s="896"/>
      <c r="F37" s="896"/>
      <c r="G37" s="896"/>
      <c r="H37" s="896"/>
      <c r="I37" s="896"/>
      <c r="J37" s="897"/>
    </row>
    <row r="38" spans="2:10" x14ac:dyDescent="0.2">
      <c r="B38" s="317"/>
      <c r="C38" s="318"/>
      <c r="D38" s="318"/>
      <c r="E38" s="318"/>
      <c r="F38" s="318"/>
      <c r="G38" s="318"/>
      <c r="H38" s="722"/>
      <c r="I38" s="318"/>
      <c r="J38" s="319"/>
    </row>
    <row r="39" spans="2:10" x14ac:dyDescent="0.2">
      <c r="B39" s="317"/>
      <c r="C39" s="318"/>
      <c r="D39" s="318"/>
      <c r="E39" s="318"/>
      <c r="F39" s="318"/>
      <c r="G39" s="318"/>
      <c r="H39" s="318"/>
      <c r="I39" s="318"/>
      <c r="J39" s="319"/>
    </row>
    <row r="40" spans="2:10" x14ac:dyDescent="0.2">
      <c r="B40" s="317"/>
      <c r="C40" s="318"/>
      <c r="D40" s="318"/>
      <c r="E40" s="320"/>
      <c r="F40" s="320"/>
      <c r="G40" s="320"/>
      <c r="H40" s="320"/>
      <c r="I40" s="320"/>
      <c r="J40" s="319"/>
    </row>
    <row r="41" spans="2:10" x14ac:dyDescent="0.2">
      <c r="B41" s="317"/>
      <c r="C41" s="318"/>
      <c r="J41" s="319"/>
    </row>
    <row r="42" spans="2:10" ht="15.75" customHeight="1" x14ac:dyDescent="0.2">
      <c r="B42" s="317"/>
      <c r="C42" s="318"/>
      <c r="J42" s="319"/>
    </row>
    <row r="43" spans="2:10" ht="15.75" customHeight="1" x14ac:dyDescent="0.2">
      <c r="B43" s="317"/>
      <c r="C43" s="318"/>
      <c r="J43" s="319"/>
    </row>
    <row r="44" spans="2:10" x14ac:dyDescent="0.2">
      <c r="B44" s="317"/>
      <c r="C44" s="318"/>
      <c r="J44" s="319"/>
    </row>
    <row r="45" spans="2:10" x14ac:dyDescent="0.2">
      <c r="B45" s="317"/>
      <c r="C45" s="318"/>
      <c r="D45" s="318"/>
      <c r="E45" s="318"/>
      <c r="F45" s="318"/>
      <c r="G45" s="318"/>
      <c r="H45" s="318"/>
      <c r="I45" s="318"/>
      <c r="J45" s="319"/>
    </row>
    <row r="46" spans="2:10" x14ac:dyDescent="0.2">
      <c r="B46" s="317"/>
      <c r="C46" s="318"/>
      <c r="D46" s="318"/>
      <c r="E46" s="318"/>
      <c r="F46" s="318"/>
      <c r="G46" s="318"/>
      <c r="H46" s="318"/>
      <c r="I46" s="318"/>
      <c r="J46" s="319"/>
    </row>
    <row r="47" spans="2:10" x14ac:dyDescent="0.2">
      <c r="B47" s="317"/>
      <c r="C47" s="318"/>
      <c r="D47" s="318"/>
      <c r="E47" s="318"/>
      <c r="F47" s="318"/>
      <c r="G47" s="318"/>
      <c r="H47" s="318"/>
      <c r="I47" s="318"/>
      <c r="J47" s="319"/>
    </row>
    <row r="48" spans="2:10" x14ac:dyDescent="0.2">
      <c r="B48" s="317"/>
      <c r="C48" s="318"/>
      <c r="D48" s="318"/>
      <c r="E48" s="318"/>
      <c r="F48" s="318"/>
      <c r="G48" s="318"/>
      <c r="H48" s="318"/>
      <c r="I48" s="318"/>
      <c r="J48" s="319"/>
    </row>
    <row r="49" spans="2:10" x14ac:dyDescent="0.2">
      <c r="B49" s="317"/>
      <c r="C49" s="318"/>
      <c r="D49" s="318"/>
      <c r="E49" s="318"/>
      <c r="F49" s="318"/>
      <c r="G49" s="318"/>
      <c r="H49" s="318"/>
      <c r="I49" s="318"/>
      <c r="J49" s="319"/>
    </row>
    <row r="50" spans="2:10" x14ac:dyDescent="0.2">
      <c r="B50" s="317"/>
      <c r="C50" s="318"/>
      <c r="D50" s="318"/>
      <c r="E50" s="318"/>
      <c r="F50" s="318"/>
      <c r="G50" s="318"/>
      <c r="H50" s="318"/>
      <c r="I50" s="318"/>
      <c r="J50" s="319"/>
    </row>
    <row r="51" spans="2:10" x14ac:dyDescent="0.2">
      <c r="B51" s="317"/>
      <c r="C51" s="318"/>
      <c r="D51" s="318"/>
      <c r="E51" s="318"/>
      <c r="F51" s="318"/>
      <c r="G51" s="318"/>
      <c r="H51" s="318"/>
      <c r="I51" s="318"/>
      <c r="J51" s="319"/>
    </row>
    <row r="52" spans="2:10" x14ac:dyDescent="0.2">
      <c r="B52" s="317"/>
      <c r="C52" s="318"/>
      <c r="D52" s="318"/>
      <c r="E52" s="318"/>
      <c r="F52" s="318"/>
      <c r="G52" s="318"/>
      <c r="H52" s="318"/>
      <c r="I52" s="318"/>
      <c r="J52" s="319"/>
    </row>
    <row r="53" spans="2:10" x14ac:dyDescent="0.2">
      <c r="B53" s="317"/>
      <c r="C53" s="318"/>
      <c r="D53" s="318"/>
      <c r="E53" s="318"/>
      <c r="F53" s="318"/>
      <c r="G53" s="318"/>
      <c r="H53" s="318"/>
      <c r="I53" s="318"/>
      <c r="J53" s="319"/>
    </row>
    <row r="54" spans="2:10" x14ac:dyDescent="0.2">
      <c r="B54" s="317"/>
      <c r="C54" s="318"/>
      <c r="D54" s="318"/>
      <c r="E54" s="318"/>
      <c r="F54" s="318"/>
      <c r="G54" s="318"/>
      <c r="H54" s="318"/>
      <c r="I54" s="318"/>
      <c r="J54" s="319"/>
    </row>
    <row r="55" spans="2:10" ht="13.5" thickBot="1" x14ac:dyDescent="0.25">
      <c r="B55" s="321"/>
      <c r="C55" s="322"/>
      <c r="D55" s="322"/>
      <c r="E55" s="322"/>
      <c r="F55" s="322"/>
      <c r="G55" s="322"/>
      <c r="H55" s="322"/>
      <c r="I55" s="322"/>
      <c r="J55" s="323"/>
    </row>
    <row r="56" spans="2:10" ht="13.5" thickTop="1" x14ac:dyDescent="0.2"/>
  </sheetData>
  <mergeCells count="4">
    <mergeCell ref="B12:J12"/>
    <mergeCell ref="B13:J13"/>
    <mergeCell ref="B14:J14"/>
    <mergeCell ref="B37:J37"/>
  </mergeCells>
  <printOptions horizontalCentered="1"/>
  <pageMargins left="0.27559055118110237" right="0.39370078740157483"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workbookViewId="0">
      <selection activeCell="G6" sqref="G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466" t="s">
        <v>237</v>
      </c>
      <c r="C1" s="467"/>
      <c r="D1" s="478"/>
      <c r="E1" s="478"/>
    </row>
    <row r="2" spans="2:5" x14ac:dyDescent="0.2">
      <c r="B2" s="466" t="s">
        <v>238</v>
      </c>
      <c r="C2" s="467"/>
      <c r="D2" s="478"/>
      <c r="E2" s="478"/>
    </row>
    <row r="3" spans="2:5" x14ac:dyDescent="0.2">
      <c r="B3" s="468"/>
      <c r="C3" s="468"/>
      <c r="D3" s="479"/>
      <c r="E3" s="479"/>
    </row>
    <row r="4" spans="2:5" ht="38.25" x14ac:dyDescent="0.2">
      <c r="B4" s="469" t="s">
        <v>239</v>
      </c>
      <c r="C4" s="468"/>
      <c r="D4" s="479"/>
      <c r="E4" s="479"/>
    </row>
    <row r="5" spans="2:5" x14ac:dyDescent="0.2">
      <c r="B5" s="468"/>
      <c r="C5" s="468"/>
      <c r="D5" s="479"/>
      <c r="E5" s="479"/>
    </row>
    <row r="6" spans="2:5" ht="25.5" x14ac:dyDescent="0.2">
      <c r="B6" s="466" t="s">
        <v>240</v>
      </c>
      <c r="C6" s="467"/>
      <c r="D6" s="478"/>
      <c r="E6" s="480" t="s">
        <v>241</v>
      </c>
    </row>
    <row r="7" spans="2:5" ht="13.5" thickBot="1" x14ac:dyDescent="0.25">
      <c r="B7" s="468"/>
      <c r="C7" s="468"/>
      <c r="D7" s="479"/>
      <c r="E7" s="479"/>
    </row>
    <row r="8" spans="2:5" ht="38.25" x14ac:dyDescent="0.2">
      <c r="B8" s="470" t="s">
        <v>242</v>
      </c>
      <c r="C8" s="471"/>
      <c r="D8" s="481"/>
      <c r="E8" s="482">
        <v>52</v>
      </c>
    </row>
    <row r="9" spans="2:5" x14ac:dyDescent="0.2">
      <c r="B9" s="472"/>
      <c r="C9" s="468"/>
      <c r="D9" s="479"/>
      <c r="E9" s="483" t="s">
        <v>243</v>
      </c>
    </row>
    <row r="10" spans="2:5" x14ac:dyDescent="0.2">
      <c r="B10" s="472"/>
      <c r="C10" s="468"/>
      <c r="D10" s="479"/>
      <c r="E10" s="483" t="s">
        <v>244</v>
      </c>
    </row>
    <row r="11" spans="2:5" x14ac:dyDescent="0.2">
      <c r="B11" s="472"/>
      <c r="C11" s="468"/>
      <c r="D11" s="479"/>
      <c r="E11" s="483" t="s">
        <v>245</v>
      </c>
    </row>
    <row r="12" spans="2:5" x14ac:dyDescent="0.2">
      <c r="B12" s="472"/>
      <c r="C12" s="468"/>
      <c r="D12" s="479"/>
      <c r="E12" s="483" t="s">
        <v>246</v>
      </c>
    </row>
    <row r="13" spans="2:5" x14ac:dyDescent="0.2">
      <c r="B13" s="472"/>
      <c r="C13" s="468"/>
      <c r="D13" s="479"/>
      <c r="E13" s="483" t="s">
        <v>247</v>
      </c>
    </row>
    <row r="14" spans="2:5" x14ac:dyDescent="0.2">
      <c r="B14" s="472"/>
      <c r="C14" s="468"/>
      <c r="D14" s="479"/>
      <c r="E14" s="483" t="s">
        <v>248</v>
      </c>
    </row>
    <row r="15" spans="2:5" x14ac:dyDescent="0.2">
      <c r="B15" s="472"/>
      <c r="C15" s="468"/>
      <c r="D15" s="479"/>
      <c r="E15" s="483" t="s">
        <v>249</v>
      </c>
    </row>
    <row r="16" spans="2:5" x14ac:dyDescent="0.2">
      <c r="B16" s="472"/>
      <c r="C16" s="468"/>
      <c r="D16" s="479"/>
      <c r="E16" s="483" t="s">
        <v>250</v>
      </c>
    </row>
    <row r="17" spans="2:5" x14ac:dyDescent="0.2">
      <c r="B17" s="472"/>
      <c r="C17" s="468"/>
      <c r="D17" s="479"/>
      <c r="E17" s="483" t="s">
        <v>251</v>
      </c>
    </row>
    <row r="18" spans="2:5" x14ac:dyDescent="0.2">
      <c r="B18" s="472"/>
      <c r="C18" s="468"/>
      <c r="D18" s="479"/>
      <c r="E18" s="483" t="s">
        <v>252</v>
      </c>
    </row>
    <row r="19" spans="2:5" ht="13.5" thickBot="1" x14ac:dyDescent="0.25">
      <c r="B19" s="473"/>
      <c r="C19" s="474"/>
      <c r="D19" s="484"/>
      <c r="E19" s="485" t="s">
        <v>253</v>
      </c>
    </row>
    <row r="20" spans="2:5" ht="13.5" thickBot="1" x14ac:dyDescent="0.25">
      <c r="B20" s="468"/>
      <c r="C20" s="468"/>
      <c r="D20" s="479"/>
      <c r="E20" s="479"/>
    </row>
    <row r="21" spans="2:5" ht="38.25" x14ac:dyDescent="0.2">
      <c r="B21" s="475" t="s">
        <v>254</v>
      </c>
      <c r="C21" s="471"/>
      <c r="D21" s="481"/>
      <c r="E21" s="482">
        <v>2</v>
      </c>
    </row>
    <row r="22" spans="2:5" x14ac:dyDescent="0.2">
      <c r="B22" s="472"/>
      <c r="C22" s="468"/>
      <c r="D22" s="479"/>
      <c r="E22" s="486" t="s">
        <v>250</v>
      </c>
    </row>
    <row r="23" spans="2:5" ht="13.5" thickBot="1" x14ac:dyDescent="0.25">
      <c r="B23" s="473"/>
      <c r="C23" s="474"/>
      <c r="D23" s="484"/>
      <c r="E23" s="487" t="s">
        <v>252</v>
      </c>
    </row>
    <row r="24" spans="2:5" ht="13.5" thickBot="1" x14ac:dyDescent="0.25">
      <c r="B24" s="468"/>
      <c r="C24" s="468"/>
      <c r="D24" s="479"/>
      <c r="E24" s="479"/>
    </row>
    <row r="25" spans="2:5" ht="38.25" x14ac:dyDescent="0.2">
      <c r="B25" s="475" t="s">
        <v>255</v>
      </c>
      <c r="C25" s="471"/>
      <c r="D25" s="481"/>
      <c r="E25" s="482">
        <v>8</v>
      </c>
    </row>
    <row r="26" spans="2:5" x14ac:dyDescent="0.2">
      <c r="B26" s="472"/>
      <c r="C26" s="468"/>
      <c r="D26" s="479"/>
      <c r="E26" s="486" t="s">
        <v>250</v>
      </c>
    </row>
    <row r="27" spans="2:5" ht="13.5" thickBot="1" x14ac:dyDescent="0.25">
      <c r="B27" s="473"/>
      <c r="C27" s="474"/>
      <c r="D27" s="484"/>
      <c r="E27" s="487" t="s">
        <v>252</v>
      </c>
    </row>
    <row r="28" spans="2:5" ht="13.5" thickBot="1" x14ac:dyDescent="0.25">
      <c r="B28" s="468"/>
      <c r="C28" s="468"/>
      <c r="D28" s="479"/>
      <c r="E28" s="479"/>
    </row>
    <row r="29" spans="2:5" ht="51" x14ac:dyDescent="0.2">
      <c r="B29" s="475" t="s">
        <v>256</v>
      </c>
      <c r="C29" s="471"/>
      <c r="D29" s="481"/>
      <c r="E29" s="482">
        <v>10</v>
      </c>
    </row>
    <row r="30" spans="2:5" ht="25.5" x14ac:dyDescent="0.2">
      <c r="B30" s="472"/>
      <c r="C30" s="468"/>
      <c r="D30" s="479"/>
      <c r="E30" s="486" t="s">
        <v>257</v>
      </c>
    </row>
    <row r="31" spans="2:5" ht="25.5" x14ac:dyDescent="0.2">
      <c r="B31" s="472"/>
      <c r="C31" s="468"/>
      <c r="D31" s="479"/>
      <c r="E31" s="488" t="s">
        <v>258</v>
      </c>
    </row>
    <row r="32" spans="2:5" ht="25.5" x14ac:dyDescent="0.2">
      <c r="B32" s="472"/>
      <c r="C32" s="468"/>
      <c r="D32" s="479"/>
      <c r="E32" s="488" t="s">
        <v>259</v>
      </c>
    </row>
    <row r="33" spans="2:5" ht="25.5" x14ac:dyDescent="0.2">
      <c r="B33" s="472"/>
      <c r="C33" s="468"/>
      <c r="D33" s="479"/>
      <c r="E33" s="488" t="s">
        <v>260</v>
      </c>
    </row>
    <row r="34" spans="2:5" x14ac:dyDescent="0.2">
      <c r="B34" s="472"/>
      <c r="C34" s="468"/>
      <c r="D34" s="479"/>
      <c r="E34" s="488" t="s">
        <v>261</v>
      </c>
    </row>
    <row r="35" spans="2:5" ht="25.5" x14ac:dyDescent="0.2">
      <c r="B35" s="472"/>
      <c r="C35" s="468"/>
      <c r="D35" s="479"/>
      <c r="E35" s="488" t="s">
        <v>262</v>
      </c>
    </row>
    <row r="36" spans="2:5" ht="38.25" x14ac:dyDescent="0.2">
      <c r="B36" s="472"/>
      <c r="C36" s="468"/>
      <c r="D36" s="479"/>
      <c r="E36" s="488" t="s">
        <v>263</v>
      </c>
    </row>
    <row r="37" spans="2:5" ht="25.5" x14ac:dyDescent="0.2">
      <c r="B37" s="472"/>
      <c r="C37" s="468"/>
      <c r="D37" s="479"/>
      <c r="E37" s="488" t="s">
        <v>264</v>
      </c>
    </row>
    <row r="38" spans="2:5" ht="25.5" x14ac:dyDescent="0.2">
      <c r="B38" s="472"/>
      <c r="C38" s="468"/>
      <c r="D38" s="479"/>
      <c r="E38" s="488" t="s">
        <v>265</v>
      </c>
    </row>
    <row r="39" spans="2:5" ht="26.25" thickBot="1" x14ac:dyDescent="0.25">
      <c r="B39" s="473"/>
      <c r="C39" s="474"/>
      <c r="D39" s="484"/>
      <c r="E39" s="487" t="s">
        <v>266</v>
      </c>
    </row>
    <row r="40" spans="2:5" x14ac:dyDescent="0.2">
      <c r="B40" s="468"/>
      <c r="C40" s="468"/>
      <c r="D40" s="479"/>
      <c r="E40" s="479"/>
    </row>
    <row r="41" spans="2:5" x14ac:dyDescent="0.2">
      <c r="B41" s="468"/>
      <c r="C41" s="468"/>
      <c r="D41" s="479"/>
      <c r="E41" s="479"/>
    </row>
    <row r="42" spans="2:5" x14ac:dyDescent="0.2">
      <c r="B42" s="467" t="s">
        <v>267</v>
      </c>
      <c r="C42" s="467"/>
      <c r="D42" s="478"/>
      <c r="E42" s="478"/>
    </row>
    <row r="43" spans="2:5" ht="13.5" thickBot="1" x14ac:dyDescent="0.25">
      <c r="B43" s="468"/>
      <c r="C43" s="468"/>
      <c r="D43" s="479"/>
      <c r="E43" s="479"/>
    </row>
    <row r="44" spans="2:5" ht="51" x14ac:dyDescent="0.2">
      <c r="B44" s="475" t="s">
        <v>268</v>
      </c>
      <c r="C44" s="471"/>
      <c r="D44" s="481"/>
      <c r="E44" s="482">
        <v>1</v>
      </c>
    </row>
    <row r="45" spans="2:5" ht="13.5" thickBot="1" x14ac:dyDescent="0.25">
      <c r="B45" s="473"/>
      <c r="C45" s="474"/>
      <c r="D45" s="484"/>
      <c r="E45" s="489" t="s">
        <v>269</v>
      </c>
    </row>
    <row r="46" spans="2:5" ht="13.5" thickBot="1" x14ac:dyDescent="0.25">
      <c r="B46" s="468"/>
      <c r="C46" s="468"/>
      <c r="D46" s="479"/>
      <c r="E46" s="479"/>
    </row>
    <row r="47" spans="2:5" ht="39" thickBot="1" x14ac:dyDescent="0.25">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K11" sqref="K11"/>
    </sheetView>
  </sheetViews>
  <sheetFormatPr defaultRowHeight="12.75" x14ac:dyDescent="0.2"/>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x14ac:dyDescent="0.3">
      <c r="B2" s="261" t="s">
        <v>71</v>
      </c>
      <c r="C2" s="261"/>
      <c r="D2" s="261"/>
      <c r="E2" s="261"/>
      <c r="F2" s="261"/>
      <c r="G2" s="261"/>
      <c r="H2" s="261"/>
      <c r="I2" s="261"/>
    </row>
    <row r="3" spans="2:11" ht="13.5" thickBot="1" x14ac:dyDescent="0.25"/>
    <row r="4" spans="2:11" ht="15.75" x14ac:dyDescent="0.25">
      <c r="B4" s="153" t="s">
        <v>1</v>
      </c>
      <c r="C4" s="154" t="s">
        <v>130</v>
      </c>
      <c r="D4" s="154" t="s">
        <v>132</v>
      </c>
      <c r="E4" s="154" t="s">
        <v>152</v>
      </c>
      <c r="F4" s="155" t="s">
        <v>156</v>
      </c>
      <c r="G4" s="155" t="s">
        <v>228</v>
      </c>
      <c r="H4" s="155" t="s">
        <v>297</v>
      </c>
      <c r="I4" s="155" t="s">
        <v>298</v>
      </c>
      <c r="J4" s="155" t="s">
        <v>300</v>
      </c>
      <c r="K4" s="752" t="s">
        <v>305</v>
      </c>
    </row>
    <row r="5" spans="2:11" ht="15.75" x14ac:dyDescent="0.2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82">
        <v>15.673</v>
      </c>
    </row>
    <row r="6" spans="2:11" ht="15.75" x14ac:dyDescent="0.25">
      <c r="B6" s="74" t="s">
        <v>3</v>
      </c>
      <c r="C6" s="156">
        <v>23.145</v>
      </c>
      <c r="D6" s="156">
        <v>30.890999999999998</v>
      </c>
      <c r="E6" s="75">
        <v>20.724</v>
      </c>
      <c r="F6" s="149">
        <v>32.588999999999999</v>
      </c>
      <c r="G6" s="149">
        <v>25.152000000000001</v>
      </c>
      <c r="H6" s="149">
        <v>32.450000000000003</v>
      </c>
      <c r="I6" s="149">
        <v>32.732999999999997</v>
      </c>
      <c r="J6" s="149">
        <v>30.492000000000001</v>
      </c>
      <c r="K6" s="782">
        <v>31.216999999999999</v>
      </c>
    </row>
    <row r="7" spans="2:11" ht="15.75" x14ac:dyDescent="0.25">
      <c r="B7" s="74" t="s">
        <v>4</v>
      </c>
      <c r="C7" s="156">
        <v>32.659999999999997</v>
      </c>
      <c r="D7" s="156">
        <v>38.808</v>
      </c>
      <c r="E7" s="75">
        <v>32.228000000000002</v>
      </c>
      <c r="F7" s="149">
        <v>30.716999999999999</v>
      </c>
      <c r="G7" s="149">
        <v>32.805</v>
      </c>
      <c r="H7" s="149">
        <v>31.65</v>
      </c>
      <c r="I7" s="149">
        <v>30.716999999999999</v>
      </c>
      <c r="J7" s="149">
        <v>30.716999999999999</v>
      </c>
      <c r="K7" s="782"/>
    </row>
    <row r="8" spans="2:11" ht="15.75" x14ac:dyDescent="0.25">
      <c r="B8" s="74" t="s">
        <v>5</v>
      </c>
      <c r="C8" s="156">
        <v>36.353999999999999</v>
      </c>
      <c r="D8" s="156">
        <v>38.808</v>
      </c>
      <c r="E8" s="75">
        <v>32.805</v>
      </c>
      <c r="F8" s="149">
        <v>29.25</v>
      </c>
      <c r="G8" s="149">
        <v>32.011000000000003</v>
      </c>
      <c r="H8" s="149">
        <v>31</v>
      </c>
      <c r="I8" s="149">
        <v>31.433</v>
      </c>
      <c r="J8" s="149">
        <v>32.732999999999997</v>
      </c>
      <c r="K8" s="782"/>
    </row>
    <row r="9" spans="2:11" ht="15.75" x14ac:dyDescent="0.25">
      <c r="B9" s="74" t="s">
        <v>6</v>
      </c>
      <c r="C9" s="156">
        <v>37.466000000000001</v>
      </c>
      <c r="D9" s="156">
        <v>38.311</v>
      </c>
      <c r="E9" s="75">
        <v>32.732999999999997</v>
      </c>
      <c r="F9" s="149">
        <v>28.404</v>
      </c>
      <c r="G9" s="149">
        <v>31</v>
      </c>
      <c r="H9" s="149">
        <v>22.085000000000001</v>
      </c>
      <c r="I9" s="149">
        <v>25.204999999999998</v>
      </c>
      <c r="J9" s="149">
        <v>21.251999999999999</v>
      </c>
      <c r="K9" s="782"/>
    </row>
    <row r="10" spans="2:11" ht="15.75" x14ac:dyDescent="0.25">
      <c r="B10" s="74" t="s">
        <v>7</v>
      </c>
      <c r="C10" s="156">
        <v>27.829000000000001</v>
      </c>
      <c r="D10" s="156">
        <v>31.65</v>
      </c>
      <c r="E10" s="75">
        <v>29.475999999999999</v>
      </c>
      <c r="F10" s="149">
        <v>19</v>
      </c>
      <c r="G10" s="149">
        <v>30.04</v>
      </c>
      <c r="H10" s="149">
        <v>19.18</v>
      </c>
      <c r="I10" s="149">
        <v>19.666</v>
      </c>
      <c r="J10" s="149">
        <v>25.044</v>
      </c>
      <c r="K10" s="782"/>
    </row>
    <row r="11" spans="2:11" ht="15.75" x14ac:dyDescent="0.25">
      <c r="B11" s="74" t="s">
        <v>8</v>
      </c>
      <c r="C11" s="156">
        <v>18.579000000000001</v>
      </c>
      <c r="D11" s="156">
        <v>30.152999999999999</v>
      </c>
      <c r="E11" s="75">
        <v>26.443000000000001</v>
      </c>
      <c r="F11" s="149">
        <v>13.18</v>
      </c>
      <c r="G11" s="149">
        <v>28.007999999999999</v>
      </c>
      <c r="H11" s="149">
        <v>15.412000000000001</v>
      </c>
      <c r="I11" s="149">
        <v>14.368</v>
      </c>
      <c r="J11" s="149">
        <v>12.083</v>
      </c>
      <c r="K11" s="782"/>
    </row>
    <row r="12" spans="2:11" ht="15.75" x14ac:dyDescent="0.25">
      <c r="B12" s="74" t="s">
        <v>9</v>
      </c>
      <c r="C12" s="156">
        <v>11.273999999999999</v>
      </c>
      <c r="D12" s="156">
        <v>21.762</v>
      </c>
      <c r="E12" s="75">
        <v>19.797999999999998</v>
      </c>
      <c r="F12" s="149">
        <v>6.4279999999999999</v>
      </c>
      <c r="G12" s="149">
        <v>22.838000000000001</v>
      </c>
      <c r="H12" s="149">
        <v>8.1639999999999997</v>
      </c>
      <c r="I12" s="149">
        <v>6.6779999999999999</v>
      </c>
      <c r="J12" s="149">
        <v>4.88</v>
      </c>
      <c r="K12" s="782"/>
    </row>
    <row r="13" spans="2:11" ht="15.75" x14ac:dyDescent="0.25">
      <c r="B13" s="74" t="s">
        <v>10</v>
      </c>
      <c r="C13" s="156">
        <v>3.9889999999999999</v>
      </c>
      <c r="D13" s="156">
        <v>12.426</v>
      </c>
      <c r="E13" s="75">
        <v>11.467000000000001</v>
      </c>
      <c r="F13" s="149">
        <v>1.6950000000000001</v>
      </c>
      <c r="G13" s="149">
        <v>25.474</v>
      </c>
      <c r="H13" s="149">
        <v>2.3439999999999999</v>
      </c>
      <c r="I13" s="149">
        <v>1.7110000000000001</v>
      </c>
      <c r="J13" s="149">
        <v>1.141</v>
      </c>
      <c r="K13" s="782"/>
    </row>
    <row r="14" spans="2:11" ht="15.75" x14ac:dyDescent="0.2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82"/>
    </row>
    <row r="15" spans="2:11" ht="15.75" x14ac:dyDescent="0.25">
      <c r="B15" s="74" t="s">
        <v>12</v>
      </c>
      <c r="C15" s="156">
        <v>3.7330000000000001</v>
      </c>
      <c r="D15" s="75">
        <v>7.8879999999999999</v>
      </c>
      <c r="E15" s="75">
        <v>4.96</v>
      </c>
      <c r="F15" s="149">
        <v>5.6040000000000001</v>
      </c>
      <c r="G15" s="149">
        <v>29.419</v>
      </c>
      <c r="H15" s="149">
        <v>10.336</v>
      </c>
      <c r="I15" s="149">
        <v>0.53500000000000003</v>
      </c>
      <c r="J15" s="149">
        <v>0.65700000000000003</v>
      </c>
      <c r="K15" s="782"/>
    </row>
    <row r="16" spans="2:11" ht="16.5" thickBot="1" x14ac:dyDescent="0.3">
      <c r="B16" s="77" t="s">
        <v>13</v>
      </c>
      <c r="C16" s="78">
        <v>9.4009999999999998</v>
      </c>
      <c r="D16" s="79">
        <v>8.7780000000000005</v>
      </c>
      <c r="E16" s="79">
        <v>6.5030000000000001</v>
      </c>
      <c r="F16" s="150">
        <v>6.2530000000000001</v>
      </c>
      <c r="G16" s="150">
        <v>31.939</v>
      </c>
      <c r="H16" s="150">
        <v>19.974</v>
      </c>
      <c r="I16" s="150">
        <v>3.758</v>
      </c>
      <c r="J16" s="150">
        <v>3.2610000000000001</v>
      </c>
      <c r="K16" s="783"/>
    </row>
    <row r="17" spans="4:5" ht="15.75" x14ac:dyDescent="0.25">
      <c r="D17" s="263" t="s">
        <v>68</v>
      </c>
      <c r="E17" s="264"/>
    </row>
    <row r="48" spans="2:3" x14ac:dyDescent="0.2">
      <c r="B48" s="265" t="s">
        <v>14</v>
      </c>
      <c r="C48" s="265"/>
    </row>
    <row r="49" spans="2:2" x14ac:dyDescent="0.2">
      <c r="B49" s="265" t="s">
        <v>15</v>
      </c>
    </row>
    <row r="50" spans="2:2" x14ac:dyDescent="0.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14"/>
  <sheetViews>
    <sheetView topLeftCell="A4" workbookViewId="0">
      <selection activeCell="H10" sqref="H10"/>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898" t="s">
        <v>296</v>
      </c>
      <c r="C1" s="898"/>
      <c r="D1" s="898"/>
      <c r="E1" s="898"/>
      <c r="F1" s="898"/>
      <c r="G1" s="898"/>
      <c r="H1" s="898"/>
      <c r="I1" s="898"/>
      <c r="J1" s="898"/>
      <c r="K1" s="898"/>
      <c r="L1" s="898"/>
      <c r="M1" s="898"/>
      <c r="N1" s="898"/>
      <c r="O1" s="898"/>
    </row>
    <row r="3" spans="2:15" ht="38.25" customHeight="1" x14ac:dyDescent="0.2">
      <c r="B3" s="575" t="s">
        <v>285</v>
      </c>
      <c r="C3" s="576" t="s">
        <v>294</v>
      </c>
      <c r="D3" s="573" t="s">
        <v>276</v>
      </c>
      <c r="E3" s="573" t="s">
        <v>277</v>
      </c>
      <c r="F3" s="573" t="s">
        <v>278</v>
      </c>
      <c r="G3" s="573" t="s">
        <v>279</v>
      </c>
      <c r="H3" s="573" t="s">
        <v>6</v>
      </c>
      <c r="I3" s="573" t="s">
        <v>280</v>
      </c>
      <c r="J3" s="573" t="s">
        <v>281</v>
      </c>
      <c r="K3" s="573" t="s">
        <v>282</v>
      </c>
      <c r="L3" s="573" t="s">
        <v>274</v>
      </c>
      <c r="M3" s="573" t="s">
        <v>275</v>
      </c>
      <c r="N3" s="573" t="s">
        <v>283</v>
      </c>
      <c r="O3" s="573" t="s">
        <v>284</v>
      </c>
    </row>
    <row r="4" spans="2:15" ht="25.5" customHeight="1" x14ac:dyDescent="0.2">
      <c r="B4" s="573">
        <v>1</v>
      </c>
      <c r="C4" s="578" t="s">
        <v>295</v>
      </c>
      <c r="D4" s="573"/>
      <c r="E4" s="573"/>
      <c r="F4" s="573"/>
      <c r="G4" s="573"/>
      <c r="H4" s="573"/>
      <c r="I4" s="573"/>
      <c r="J4" s="574"/>
      <c r="K4" s="574"/>
      <c r="L4" s="574"/>
      <c r="M4" s="574"/>
      <c r="N4" s="574"/>
      <c r="O4" s="574"/>
    </row>
    <row r="5" spans="2:15" ht="26.25" customHeight="1" x14ac:dyDescent="0.2">
      <c r="B5" s="573">
        <f>B4+1</f>
        <v>2</v>
      </c>
      <c r="C5" s="578" t="s">
        <v>286</v>
      </c>
      <c r="D5" s="573"/>
      <c r="E5" s="573"/>
      <c r="F5" s="573"/>
      <c r="G5" s="573"/>
      <c r="H5" s="573"/>
      <c r="I5" s="573"/>
      <c r="J5" s="574"/>
      <c r="K5" s="574"/>
      <c r="L5" s="574"/>
      <c r="M5" s="574"/>
      <c r="N5" s="574"/>
      <c r="O5" s="574"/>
    </row>
    <row r="6" spans="2:15" ht="24" customHeight="1" x14ac:dyDescent="0.2">
      <c r="B6" s="573">
        <f t="shared" ref="B6:B12" si="0">B5+1</f>
        <v>3</v>
      </c>
      <c r="C6" s="578" t="s">
        <v>287</v>
      </c>
      <c r="D6" s="573"/>
      <c r="E6" s="573"/>
      <c r="F6" s="573"/>
      <c r="G6" s="573"/>
      <c r="H6" s="573"/>
      <c r="I6" s="573"/>
      <c r="J6" s="574"/>
      <c r="K6" s="574"/>
      <c r="L6" s="574"/>
      <c r="M6" s="574"/>
      <c r="N6" s="574"/>
      <c r="O6" s="574"/>
    </row>
    <row r="7" spans="2:15" ht="24" customHeight="1" x14ac:dyDescent="0.2">
      <c r="B7" s="573">
        <f t="shared" si="0"/>
        <v>4</v>
      </c>
      <c r="C7" s="578" t="s">
        <v>288</v>
      </c>
      <c r="D7" s="573"/>
      <c r="E7" s="573"/>
      <c r="F7" s="573"/>
      <c r="G7" s="573"/>
      <c r="H7" s="573"/>
      <c r="I7" s="573"/>
      <c r="J7" s="574"/>
      <c r="K7" s="574"/>
      <c r="L7" s="574"/>
      <c r="M7" s="574"/>
      <c r="N7" s="574"/>
      <c r="O7" s="574"/>
    </row>
    <row r="8" spans="2:15" ht="27" customHeight="1" x14ac:dyDescent="0.2">
      <c r="B8" s="573">
        <f t="shared" si="0"/>
        <v>5</v>
      </c>
      <c r="C8" s="578" t="s">
        <v>289</v>
      </c>
      <c r="D8" s="573"/>
      <c r="E8" s="573"/>
      <c r="F8" s="573"/>
      <c r="G8" s="573"/>
      <c r="H8" s="573"/>
      <c r="I8" s="573"/>
      <c r="J8" s="574"/>
      <c r="K8" s="574"/>
      <c r="L8" s="574"/>
      <c r="M8" s="574"/>
      <c r="N8" s="574"/>
      <c r="O8" s="574"/>
    </row>
    <row r="9" spans="2:15" ht="24" customHeight="1" x14ac:dyDescent="0.2">
      <c r="B9" s="573">
        <f t="shared" si="0"/>
        <v>6</v>
      </c>
      <c r="C9" s="578" t="s">
        <v>290</v>
      </c>
      <c r="D9" s="573"/>
      <c r="E9" s="573"/>
      <c r="F9" s="573"/>
      <c r="G9" s="573"/>
      <c r="H9" s="573"/>
      <c r="I9" s="573"/>
      <c r="J9" s="574"/>
      <c r="K9" s="574"/>
      <c r="L9" s="574"/>
      <c r="M9" s="574"/>
      <c r="N9" s="574"/>
      <c r="O9" s="574"/>
    </row>
    <row r="10" spans="2:15" ht="23.25" customHeight="1" x14ac:dyDescent="0.2">
      <c r="B10" s="573">
        <f t="shared" si="0"/>
        <v>7</v>
      </c>
      <c r="C10" s="579" t="s">
        <v>291</v>
      </c>
      <c r="D10" s="574"/>
      <c r="E10" s="574"/>
      <c r="F10" s="574"/>
      <c r="G10" s="574"/>
      <c r="H10" s="574"/>
      <c r="I10" s="574"/>
      <c r="J10" s="574"/>
      <c r="K10" s="574"/>
      <c r="L10" s="574"/>
      <c r="M10" s="574"/>
      <c r="N10" s="574"/>
      <c r="O10" s="574"/>
    </row>
    <row r="11" spans="2:15" ht="26.25" customHeight="1" x14ac:dyDescent="0.2">
      <c r="B11" s="573">
        <f t="shared" si="0"/>
        <v>8</v>
      </c>
      <c r="C11" s="579" t="s">
        <v>292</v>
      </c>
      <c r="D11" s="574"/>
      <c r="E11" s="574"/>
      <c r="F11" s="574"/>
      <c r="G11" s="574"/>
      <c r="H11" s="574"/>
      <c r="I11" s="574"/>
      <c r="J11" s="574"/>
      <c r="K11" s="574"/>
      <c r="L11" s="574"/>
      <c r="M11" s="574"/>
      <c r="N11" s="574"/>
      <c r="O11" s="574"/>
    </row>
    <row r="12" spans="2:15" ht="24.75" customHeight="1" x14ac:dyDescent="0.2">
      <c r="B12" s="573">
        <f t="shared" si="0"/>
        <v>9</v>
      </c>
      <c r="C12" s="579" t="s">
        <v>293</v>
      </c>
      <c r="D12" s="574"/>
      <c r="E12" s="574"/>
      <c r="F12" s="574"/>
      <c r="G12" s="574"/>
      <c r="H12" s="574"/>
      <c r="I12" s="574"/>
      <c r="J12" s="574"/>
      <c r="K12" s="574"/>
      <c r="L12" s="574"/>
      <c r="M12" s="574"/>
      <c r="N12" s="574"/>
      <c r="O12" s="574"/>
    </row>
    <row r="13" spans="2:15" ht="24" customHeight="1" x14ac:dyDescent="0.2">
      <c r="B13" s="574"/>
      <c r="C13" s="577"/>
      <c r="D13" s="574"/>
      <c r="E13" s="574"/>
      <c r="F13" s="574"/>
      <c r="G13" s="574"/>
      <c r="H13" s="574"/>
      <c r="I13" s="574"/>
      <c r="J13" s="574"/>
      <c r="K13" s="574"/>
      <c r="L13" s="574"/>
      <c r="M13" s="574"/>
      <c r="N13" s="574"/>
      <c r="O13" s="574"/>
    </row>
    <row r="14" spans="2:15" ht="25.5" customHeight="1" x14ac:dyDescent="0.2">
      <c r="B14" s="574"/>
      <c r="C14" s="577"/>
      <c r="D14" s="574"/>
      <c r="E14" s="574"/>
      <c r="F14" s="574"/>
      <c r="G14" s="574"/>
      <c r="H14" s="574"/>
      <c r="I14" s="574"/>
      <c r="J14" s="574"/>
      <c r="K14" s="574"/>
      <c r="L14" s="574"/>
      <c r="M14" s="574"/>
      <c r="N14" s="574"/>
      <c r="O14" s="574"/>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47"/>
  <sheetViews>
    <sheetView workbookViewId="0">
      <selection activeCell="K7" sqref="K7"/>
    </sheetView>
  </sheetViews>
  <sheetFormatPr defaultRowHeight="12.75" x14ac:dyDescent="0.2"/>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x14ac:dyDescent="0.3">
      <c r="B2" s="823" t="s">
        <v>0</v>
      </c>
      <c r="C2" s="823"/>
      <c r="D2" s="823"/>
      <c r="E2" s="823"/>
      <c r="F2" s="823"/>
      <c r="G2" s="823"/>
      <c r="H2" s="823"/>
      <c r="I2" s="823"/>
      <c r="J2" s="823"/>
    </row>
    <row r="3" spans="2:11" ht="13.5" thickBot="1" x14ac:dyDescent="0.25"/>
    <row r="4" spans="2:11" ht="18.75" x14ac:dyDescent="0.3">
      <c r="B4" s="435" t="s">
        <v>1</v>
      </c>
      <c r="C4" s="436">
        <v>2012</v>
      </c>
      <c r="D4" s="436">
        <v>2013</v>
      </c>
      <c r="E4" s="436">
        <v>2014</v>
      </c>
      <c r="F4" s="436">
        <v>2015</v>
      </c>
      <c r="G4" s="437">
        <v>2016</v>
      </c>
      <c r="H4" s="148" t="s">
        <v>297</v>
      </c>
      <c r="I4" s="148" t="s">
        <v>298</v>
      </c>
      <c r="J4" s="148" t="s">
        <v>300</v>
      </c>
      <c r="K4" s="753" t="s">
        <v>305</v>
      </c>
    </row>
    <row r="5" spans="2:11" ht="21" customHeight="1" x14ac:dyDescent="0.25">
      <c r="B5" s="438" t="s">
        <v>2</v>
      </c>
      <c r="C5" s="439">
        <v>26.94</v>
      </c>
      <c r="D5" s="439">
        <v>38.625</v>
      </c>
      <c r="E5" s="439">
        <v>19.600000000000001</v>
      </c>
      <c r="F5" s="440">
        <v>21.2</v>
      </c>
      <c r="G5" s="440">
        <v>31.45</v>
      </c>
      <c r="H5" s="149">
        <v>40.674999999999997</v>
      </c>
      <c r="I5" s="149">
        <v>25.704000000000001</v>
      </c>
      <c r="J5" s="149">
        <v>23.539000000000001</v>
      </c>
      <c r="K5" s="782">
        <v>28.972999999999999</v>
      </c>
    </row>
    <row r="6" spans="2:11" ht="21" customHeight="1" x14ac:dyDescent="0.25">
      <c r="B6" s="438" t="s">
        <v>3</v>
      </c>
      <c r="C6" s="439">
        <v>36.78</v>
      </c>
      <c r="D6" s="439">
        <v>37.6</v>
      </c>
      <c r="E6" s="439">
        <v>21.2</v>
      </c>
      <c r="F6" s="440">
        <v>36.774999999999999</v>
      </c>
      <c r="G6" s="440">
        <v>39.65</v>
      </c>
      <c r="H6" s="149">
        <v>45.185000000000002</v>
      </c>
      <c r="I6" s="149">
        <v>43.34</v>
      </c>
      <c r="J6" s="149">
        <v>35.905999999999999</v>
      </c>
      <c r="K6" s="782">
        <v>39.35</v>
      </c>
    </row>
    <row r="7" spans="2:11" ht="21" customHeight="1" x14ac:dyDescent="0.25">
      <c r="B7" s="438" t="s">
        <v>4</v>
      </c>
      <c r="C7" s="439">
        <v>30.63</v>
      </c>
      <c r="D7" s="439">
        <v>41.7</v>
      </c>
      <c r="E7" s="439">
        <v>32.270000000000003</v>
      </c>
      <c r="F7" s="440">
        <v>35.755000000000003</v>
      </c>
      <c r="G7" s="440">
        <v>37.6</v>
      </c>
      <c r="H7" s="149">
        <v>39.65</v>
      </c>
      <c r="I7" s="149">
        <v>44.57</v>
      </c>
      <c r="J7" s="149">
        <v>37.793999999999997</v>
      </c>
      <c r="K7" s="782"/>
    </row>
    <row r="8" spans="2:11" ht="21" customHeight="1" x14ac:dyDescent="0.25">
      <c r="B8" s="438" t="s">
        <v>5</v>
      </c>
      <c r="C8" s="439">
        <v>36.784999999999997</v>
      </c>
      <c r="D8" s="439">
        <v>46.2</v>
      </c>
      <c r="E8" s="439">
        <v>38.625</v>
      </c>
      <c r="F8" s="440">
        <v>45.8</v>
      </c>
      <c r="G8" s="440">
        <v>41.7</v>
      </c>
      <c r="H8" s="149">
        <v>46.414999999999999</v>
      </c>
      <c r="I8" s="149">
        <v>34.935000000000002</v>
      </c>
      <c r="J8" s="149">
        <v>39.548000000000002</v>
      </c>
      <c r="K8" s="782"/>
    </row>
    <row r="9" spans="2:11" ht="21" customHeight="1" x14ac:dyDescent="0.25">
      <c r="B9" s="438" t="s">
        <v>6</v>
      </c>
      <c r="C9" s="439">
        <v>40.880000000000003</v>
      </c>
      <c r="D9" s="439">
        <v>47.44</v>
      </c>
      <c r="E9" s="439">
        <v>34.935000000000002</v>
      </c>
      <c r="F9" s="440">
        <v>38.83</v>
      </c>
      <c r="G9" s="440">
        <v>31.04</v>
      </c>
      <c r="H9" s="149">
        <v>43.75</v>
      </c>
      <c r="I9" s="149">
        <v>15.2</v>
      </c>
      <c r="J9" s="149">
        <v>32.317999999999998</v>
      </c>
      <c r="K9" s="782"/>
    </row>
    <row r="10" spans="2:11" ht="21" customHeight="1" x14ac:dyDescent="0.25">
      <c r="B10" s="438" t="s">
        <v>7</v>
      </c>
      <c r="C10" s="439">
        <v>26.408000000000001</v>
      </c>
      <c r="D10" s="439">
        <v>43.134</v>
      </c>
      <c r="E10" s="439">
        <v>29.047999999999998</v>
      </c>
      <c r="F10" s="440">
        <v>18</v>
      </c>
      <c r="G10" s="440">
        <v>31.45</v>
      </c>
      <c r="H10" s="149">
        <v>35.96</v>
      </c>
      <c r="I10" s="149">
        <v>19.600000000000001</v>
      </c>
      <c r="J10" s="149">
        <v>21.225000000000001</v>
      </c>
      <c r="K10" s="782"/>
    </row>
    <row r="11" spans="2:11" ht="21" customHeight="1" x14ac:dyDescent="0.25">
      <c r="B11" s="438" t="s">
        <v>8</v>
      </c>
      <c r="C11" s="439">
        <v>19.600000000000001</v>
      </c>
      <c r="D11" s="439">
        <v>29.047999999999998</v>
      </c>
      <c r="E11" s="439">
        <v>27.64</v>
      </c>
      <c r="F11" s="440">
        <v>13.33</v>
      </c>
      <c r="G11" s="440">
        <v>32.68</v>
      </c>
      <c r="H11" s="149">
        <v>26.056000000000001</v>
      </c>
      <c r="I11" s="149">
        <v>14.72</v>
      </c>
      <c r="J11" s="149">
        <v>14.254</v>
      </c>
      <c r="K11" s="782"/>
    </row>
    <row r="12" spans="2:11" ht="21" customHeight="1" x14ac:dyDescent="0.25">
      <c r="B12" s="438" t="s">
        <v>9</v>
      </c>
      <c r="C12" s="439">
        <v>18.64</v>
      </c>
      <c r="D12" s="439">
        <v>19.600000000000001</v>
      </c>
      <c r="E12" s="439">
        <v>18.8</v>
      </c>
      <c r="F12" s="440">
        <v>14</v>
      </c>
      <c r="G12" s="440">
        <v>29.4</v>
      </c>
      <c r="H12" s="149">
        <v>14.96</v>
      </c>
      <c r="I12" s="149">
        <v>10</v>
      </c>
      <c r="J12" s="149">
        <v>13.458</v>
      </c>
      <c r="K12" s="782"/>
    </row>
    <row r="13" spans="2:11" ht="21" customHeight="1" x14ac:dyDescent="0.25">
      <c r="B13" s="438" t="s">
        <v>10</v>
      </c>
      <c r="C13" s="439">
        <v>16.32</v>
      </c>
      <c r="D13" s="439">
        <v>15.48</v>
      </c>
      <c r="E13" s="439">
        <v>13.3</v>
      </c>
      <c r="F13" s="440">
        <v>14</v>
      </c>
      <c r="G13" s="440">
        <v>26.936</v>
      </c>
      <c r="H13" s="149">
        <v>15.62</v>
      </c>
      <c r="I13" s="149">
        <v>10.317</v>
      </c>
      <c r="J13" s="149">
        <v>10.234999999999999</v>
      </c>
      <c r="K13" s="782"/>
    </row>
    <row r="14" spans="2:11" ht="21" customHeight="1" x14ac:dyDescent="0.25">
      <c r="B14" s="438" t="s">
        <v>11</v>
      </c>
      <c r="C14" s="439">
        <v>16.04</v>
      </c>
      <c r="D14" s="439">
        <v>16.04</v>
      </c>
      <c r="E14" s="439">
        <v>10.98</v>
      </c>
      <c r="F14" s="440">
        <v>10.98</v>
      </c>
      <c r="G14" s="440">
        <v>29.224</v>
      </c>
      <c r="H14" s="149">
        <v>14.6</v>
      </c>
      <c r="I14" s="149">
        <v>9.9920000000000009</v>
      </c>
      <c r="J14" s="149">
        <v>7.5650000000000004</v>
      </c>
      <c r="K14" s="782"/>
    </row>
    <row r="15" spans="2:11" ht="21" customHeight="1" x14ac:dyDescent="0.25">
      <c r="B15" s="438" t="s">
        <v>12</v>
      </c>
      <c r="C15" s="439">
        <v>19.440000000000001</v>
      </c>
      <c r="D15" s="439">
        <v>17.3</v>
      </c>
      <c r="E15" s="439">
        <v>14.96</v>
      </c>
      <c r="F15" s="440">
        <v>20.079999999999998</v>
      </c>
      <c r="G15" s="440">
        <v>35.14</v>
      </c>
      <c r="H15" s="149">
        <v>14.25</v>
      </c>
      <c r="I15" s="149">
        <v>15.292</v>
      </c>
      <c r="J15" s="149">
        <v>9.1389999999999993</v>
      </c>
      <c r="K15" s="782"/>
    </row>
    <row r="16" spans="2:11" ht="21" customHeight="1" thickBot="1" x14ac:dyDescent="0.3">
      <c r="B16" s="441" t="s">
        <v>13</v>
      </c>
      <c r="C16" s="278">
        <v>25.527999999999999</v>
      </c>
      <c r="D16" s="278">
        <v>18.8</v>
      </c>
      <c r="E16" s="278">
        <v>16.18</v>
      </c>
      <c r="F16" s="279">
        <v>26.936</v>
      </c>
      <c r="G16" s="279">
        <v>33.090000000000003</v>
      </c>
      <c r="H16" s="150">
        <v>23.05</v>
      </c>
      <c r="I16" s="150">
        <v>14.56</v>
      </c>
      <c r="J16" s="150">
        <v>19.684000000000001</v>
      </c>
      <c r="K16" s="783"/>
    </row>
    <row r="46" spans="2:3" x14ac:dyDescent="0.2">
      <c r="B46" s="280" t="s">
        <v>14</v>
      </c>
      <c r="C46" s="280"/>
    </row>
    <row r="47" spans="2:3" x14ac:dyDescent="0.2">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50"/>
  <sheetViews>
    <sheetView workbookViewId="0">
      <selection activeCell="K5" sqref="K5:K16"/>
    </sheetView>
  </sheetViews>
  <sheetFormatPr defaultRowHeight="12.75" x14ac:dyDescent="0.2"/>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x14ac:dyDescent="0.3">
      <c r="B2" s="266" t="s">
        <v>171</v>
      </c>
      <c r="C2" s="266"/>
      <c r="D2" s="266"/>
      <c r="E2" s="266"/>
      <c r="F2" s="266"/>
      <c r="G2" s="266"/>
    </row>
    <row r="3" spans="2:11" ht="13.5" thickBot="1" x14ac:dyDescent="0.25"/>
    <row r="4" spans="2:11" ht="18.75" x14ac:dyDescent="0.3">
      <c r="B4" s="146" t="s">
        <v>1</v>
      </c>
      <c r="C4" s="147" t="s">
        <v>130</v>
      </c>
      <c r="D4" s="147" t="s">
        <v>132</v>
      </c>
      <c r="E4" s="147" t="s">
        <v>152</v>
      </c>
      <c r="F4" s="148" t="s">
        <v>156</v>
      </c>
      <c r="G4" s="148" t="s">
        <v>228</v>
      </c>
      <c r="H4" s="148" t="s">
        <v>297</v>
      </c>
      <c r="I4" s="148" t="s">
        <v>298</v>
      </c>
      <c r="J4" s="148" t="s">
        <v>300</v>
      </c>
      <c r="K4" s="753" t="s">
        <v>305</v>
      </c>
    </row>
    <row r="5" spans="2:11" ht="15.75" x14ac:dyDescent="0.25">
      <c r="B5" s="74" t="s">
        <v>2</v>
      </c>
      <c r="C5" s="75">
        <v>28.289000000000001</v>
      </c>
      <c r="D5" s="75">
        <v>43.69</v>
      </c>
      <c r="E5" s="75">
        <v>28.436</v>
      </c>
      <c r="F5" s="149">
        <v>36.58</v>
      </c>
      <c r="G5" s="149">
        <v>25.704000000000001</v>
      </c>
      <c r="H5" s="149">
        <v>50.292000000000002</v>
      </c>
      <c r="I5" s="149">
        <v>14.558999999999999</v>
      </c>
      <c r="J5" s="149">
        <v>21.224</v>
      </c>
      <c r="K5" s="782">
        <v>42.725000000000001</v>
      </c>
    </row>
    <row r="6" spans="2:11" ht="15.75" x14ac:dyDescent="0.25">
      <c r="B6" s="74" t="s">
        <v>3</v>
      </c>
      <c r="C6" s="75">
        <v>38.021000000000001</v>
      </c>
      <c r="D6" s="75">
        <v>47.658999999999999</v>
      </c>
      <c r="E6" s="75">
        <v>49.677</v>
      </c>
      <c r="F6" s="149">
        <v>49.478999999999999</v>
      </c>
      <c r="G6" s="149">
        <v>43.085000000000001</v>
      </c>
      <c r="H6" s="149">
        <v>49.68</v>
      </c>
      <c r="I6" s="149">
        <v>46.195999999999998</v>
      </c>
      <c r="J6" s="149">
        <v>38.307000000000002</v>
      </c>
      <c r="K6" s="782">
        <v>50.805999999999997</v>
      </c>
    </row>
    <row r="7" spans="2:11" ht="15.75" x14ac:dyDescent="0.25">
      <c r="B7" s="74" t="s">
        <v>4</v>
      </c>
      <c r="C7" s="75">
        <v>41.186999999999998</v>
      </c>
      <c r="D7" s="75">
        <v>48.497999999999998</v>
      </c>
      <c r="E7" s="75">
        <v>49.412999999999997</v>
      </c>
      <c r="F7" s="149">
        <v>49.057000000000002</v>
      </c>
      <c r="G7" s="149">
        <v>49.545000000000002</v>
      </c>
      <c r="H7" s="149">
        <v>48.369</v>
      </c>
      <c r="I7" s="149">
        <v>47.851999999999997</v>
      </c>
      <c r="J7" s="149">
        <v>43.508000000000003</v>
      </c>
      <c r="K7" s="782"/>
    </row>
    <row r="8" spans="2:11" ht="15.75" x14ac:dyDescent="0.25">
      <c r="B8" s="74" t="s">
        <v>5</v>
      </c>
      <c r="C8" s="75">
        <v>47.594000000000001</v>
      </c>
      <c r="D8" s="75">
        <v>47.98</v>
      </c>
      <c r="E8" s="75">
        <v>49.545000000000002</v>
      </c>
      <c r="F8" s="149">
        <v>51.476999999999997</v>
      </c>
      <c r="G8" s="149">
        <v>49.216000000000001</v>
      </c>
      <c r="H8" s="149">
        <v>46.575000000000003</v>
      </c>
      <c r="I8" s="149">
        <v>46.575000000000003</v>
      </c>
      <c r="J8" s="149">
        <v>42.725000000000001</v>
      </c>
      <c r="K8" s="782"/>
    </row>
    <row r="9" spans="2:11" ht="15.75" x14ac:dyDescent="0.25">
      <c r="B9" s="74" t="s">
        <v>6</v>
      </c>
      <c r="C9" s="75">
        <v>40.374000000000002</v>
      </c>
      <c r="D9" s="75">
        <v>42.604999999999997</v>
      </c>
      <c r="E9" s="75">
        <v>46.07</v>
      </c>
      <c r="F9" s="149">
        <v>45.944000000000003</v>
      </c>
      <c r="G9" s="149">
        <v>48.759</v>
      </c>
      <c r="H9" s="149">
        <v>37.186</v>
      </c>
      <c r="I9" s="149">
        <v>39.799999999999997</v>
      </c>
      <c r="J9" s="149">
        <v>37.518999999999998</v>
      </c>
      <c r="K9" s="782"/>
    </row>
    <row r="10" spans="2:11" ht="15.75" x14ac:dyDescent="0.25">
      <c r="B10" s="74" t="s">
        <v>7</v>
      </c>
      <c r="C10" s="75">
        <v>32.130000000000003</v>
      </c>
      <c r="D10" s="75">
        <v>43.387</v>
      </c>
      <c r="E10" s="75">
        <v>41.537999999999997</v>
      </c>
      <c r="F10" s="149">
        <v>34.253999999999998</v>
      </c>
      <c r="G10" s="149">
        <v>48.173999999999999</v>
      </c>
      <c r="H10" s="149">
        <v>29.591999999999999</v>
      </c>
      <c r="I10" s="149">
        <v>33.171999999999997</v>
      </c>
      <c r="J10" s="149">
        <v>30.494</v>
      </c>
      <c r="K10" s="782"/>
    </row>
    <row r="11" spans="2:11" ht="15.75" x14ac:dyDescent="0.2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82"/>
    </row>
    <row r="12" spans="2:11" ht="15.75" x14ac:dyDescent="0.25">
      <c r="B12" s="74" t="s">
        <v>70</v>
      </c>
      <c r="C12" s="75">
        <v>11.077</v>
      </c>
      <c r="D12" s="75">
        <v>34.466999999999999</v>
      </c>
      <c r="E12" s="75">
        <v>28.045000000000002</v>
      </c>
      <c r="F12" s="149">
        <v>11.291</v>
      </c>
      <c r="G12" s="149">
        <v>39.146999999999998</v>
      </c>
      <c r="H12" s="149">
        <v>12.901999999999999</v>
      </c>
      <c r="I12" s="149">
        <v>12.153</v>
      </c>
      <c r="J12" s="149">
        <v>12.398999999999999</v>
      </c>
      <c r="K12" s="782"/>
    </row>
    <row r="13" spans="2:11" ht="15.75" x14ac:dyDescent="0.25">
      <c r="B13" s="74" t="s">
        <v>10</v>
      </c>
      <c r="C13" s="75">
        <v>4.4080000000000004</v>
      </c>
      <c r="D13" s="75">
        <v>24.681999999999999</v>
      </c>
      <c r="E13" s="75">
        <v>17.486999999999998</v>
      </c>
      <c r="F13" s="149">
        <v>4.4898910000000001</v>
      </c>
      <c r="G13" s="149">
        <v>42.485999999999997</v>
      </c>
      <c r="H13" s="149">
        <v>5.6</v>
      </c>
      <c r="I13" s="149">
        <v>6.6120000000000001</v>
      </c>
      <c r="J13" s="149">
        <v>5.343</v>
      </c>
      <c r="K13" s="782"/>
    </row>
    <row r="14" spans="2:11" ht="15.75" x14ac:dyDescent="0.25">
      <c r="B14" s="74" t="s">
        <v>11</v>
      </c>
      <c r="C14" s="75">
        <v>2.9729999999999999</v>
      </c>
      <c r="D14" s="75">
        <v>19.056999999999999</v>
      </c>
      <c r="E14" s="75">
        <v>13.381</v>
      </c>
      <c r="F14" s="149">
        <v>3.117</v>
      </c>
      <c r="G14" s="149">
        <v>45.475000000000001</v>
      </c>
      <c r="H14" s="149">
        <v>3.9449999999999998</v>
      </c>
      <c r="I14" s="149">
        <v>5.6</v>
      </c>
      <c r="J14" s="149">
        <v>4.8479999999999999</v>
      </c>
      <c r="K14" s="782"/>
    </row>
    <row r="15" spans="2:11" ht="15.75" x14ac:dyDescent="0.2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82"/>
    </row>
    <row r="16" spans="2:11" ht="16.5" thickBot="1" x14ac:dyDescent="0.3">
      <c r="B16" s="77" t="s">
        <v>13</v>
      </c>
      <c r="C16" s="79">
        <v>22.494</v>
      </c>
      <c r="D16" s="79">
        <v>23.931999999999999</v>
      </c>
      <c r="E16" s="79">
        <v>25.891999999999999</v>
      </c>
      <c r="F16" s="150">
        <v>15.746</v>
      </c>
      <c r="G16" s="150">
        <v>46.892000000000003</v>
      </c>
      <c r="H16" s="150">
        <v>16.388000000000002</v>
      </c>
      <c r="I16" s="150">
        <v>16.315000000000001</v>
      </c>
      <c r="J16" s="150">
        <v>10.337999999999999</v>
      </c>
      <c r="K16" s="783"/>
    </row>
    <row r="17" spans="2:7" ht="15.75" x14ac:dyDescent="0.25">
      <c r="B17" s="151"/>
      <c r="C17" s="152"/>
      <c r="D17" s="152"/>
      <c r="E17" s="152"/>
      <c r="F17" s="152"/>
      <c r="G17" s="152"/>
    </row>
    <row r="18" spans="2:7" ht="15.75" x14ac:dyDescent="0.25">
      <c r="B18" s="151"/>
      <c r="C18" s="152"/>
      <c r="D18" s="152"/>
      <c r="E18" s="152"/>
      <c r="F18" s="152"/>
      <c r="G18" s="152"/>
    </row>
    <row r="48" spans="2:3" x14ac:dyDescent="0.2">
      <c r="B48" s="267" t="s">
        <v>14</v>
      </c>
      <c r="C48" s="267"/>
    </row>
    <row r="49" spans="2:2" x14ac:dyDescent="0.2">
      <c r="B49" s="267" t="s">
        <v>15</v>
      </c>
    </row>
    <row r="50" spans="2:2" x14ac:dyDescent="0.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M23" sqref="M23"/>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824" t="s">
        <v>301</v>
      </c>
      <c r="C2" s="824"/>
      <c r="D2" s="824"/>
      <c r="E2" s="824"/>
      <c r="F2" s="824"/>
      <c r="G2" s="824"/>
      <c r="H2" s="824"/>
      <c r="I2" s="824"/>
      <c r="J2" s="824"/>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x14ac:dyDescent="0.25">
      <c r="B5" s="74" t="s">
        <v>2</v>
      </c>
      <c r="C5" s="168">
        <v>375.27</v>
      </c>
      <c r="D5" s="168">
        <v>317.65699999999998</v>
      </c>
      <c r="E5" s="168">
        <v>280.80799999999999</v>
      </c>
      <c r="F5" s="169"/>
      <c r="G5" s="169"/>
      <c r="H5" s="149">
        <v>18.093</v>
      </c>
      <c r="I5" s="149">
        <v>17.920000000000002</v>
      </c>
      <c r="J5" s="149">
        <v>10.9</v>
      </c>
      <c r="K5" s="782">
        <v>10.43</v>
      </c>
      <c r="L5" s="164"/>
      <c r="M5" s="164"/>
      <c r="N5" s="164"/>
      <c r="O5" s="164"/>
      <c r="P5" s="164"/>
      <c r="Q5" s="299"/>
    </row>
    <row r="6" spans="2:17" ht="21" customHeight="1" x14ac:dyDescent="0.25">
      <c r="B6" s="74" t="s">
        <v>3</v>
      </c>
      <c r="C6" s="168">
        <v>381.52699999999999</v>
      </c>
      <c r="D6" s="168">
        <v>344.92700000000002</v>
      </c>
      <c r="E6" s="168">
        <v>280.43400000000003</v>
      </c>
      <c r="F6" s="169"/>
      <c r="G6" s="169"/>
      <c r="H6" s="149">
        <v>18.21</v>
      </c>
      <c r="I6" s="149">
        <v>17.97</v>
      </c>
      <c r="J6" s="149">
        <v>11.07</v>
      </c>
      <c r="K6" s="782">
        <v>11.3</v>
      </c>
      <c r="L6" s="164"/>
      <c r="M6" s="164"/>
      <c r="N6" s="164"/>
      <c r="O6" s="164"/>
      <c r="P6" s="165"/>
      <c r="Q6" s="299"/>
    </row>
    <row r="7" spans="2:17" ht="21" customHeight="1" x14ac:dyDescent="0.25">
      <c r="B7" s="74" t="s">
        <v>4</v>
      </c>
      <c r="C7" s="168">
        <v>386.63600000000002</v>
      </c>
      <c r="D7" s="168">
        <v>344.61399999999998</v>
      </c>
      <c r="E7" s="168">
        <v>289.31</v>
      </c>
      <c r="F7" s="169"/>
      <c r="G7" s="169"/>
      <c r="H7" s="149">
        <v>17.981000000000002</v>
      </c>
      <c r="I7" s="149">
        <v>17.97</v>
      </c>
      <c r="J7" s="149">
        <v>11.21</v>
      </c>
      <c r="K7" s="782"/>
      <c r="L7" s="164"/>
      <c r="M7" s="164"/>
      <c r="N7" s="164"/>
      <c r="O7" s="164"/>
      <c r="P7" s="164"/>
      <c r="Q7" s="299"/>
    </row>
    <row r="8" spans="2:17" ht="21" customHeight="1" x14ac:dyDescent="0.25">
      <c r="B8" s="74" t="s">
        <v>5</v>
      </c>
      <c r="C8" s="168">
        <v>378.81599999999997</v>
      </c>
      <c r="D8" s="168">
        <v>369.43099999999998</v>
      </c>
      <c r="E8" s="168">
        <v>310.10399999999998</v>
      </c>
      <c r="F8" s="169"/>
      <c r="G8" s="169"/>
      <c r="H8" s="149">
        <v>18.138000000000002</v>
      </c>
      <c r="I8" s="149">
        <v>17.97</v>
      </c>
      <c r="J8" s="149">
        <v>11</v>
      </c>
      <c r="K8" s="782"/>
      <c r="L8" s="164"/>
      <c r="M8" s="164"/>
      <c r="N8" s="164"/>
      <c r="O8" s="164"/>
      <c r="P8" s="164"/>
      <c r="Q8" s="299"/>
    </row>
    <row r="9" spans="2:17" ht="21" customHeight="1" x14ac:dyDescent="0.25">
      <c r="B9" s="74" t="s">
        <v>6</v>
      </c>
      <c r="C9" s="168">
        <v>375.27</v>
      </c>
      <c r="D9" s="168">
        <v>356.18799999999999</v>
      </c>
      <c r="E9" s="168">
        <v>306.46499999999997</v>
      </c>
      <c r="F9" s="169"/>
      <c r="G9" s="169"/>
      <c r="H9" s="149">
        <v>17.98</v>
      </c>
      <c r="I9" s="149">
        <v>17.97</v>
      </c>
      <c r="J9" s="149">
        <v>10.95</v>
      </c>
      <c r="K9" s="782"/>
      <c r="L9" s="164"/>
      <c r="M9" s="164"/>
      <c r="N9" s="164"/>
      <c r="O9" s="164"/>
      <c r="P9" s="164"/>
      <c r="Q9" s="300"/>
    </row>
    <row r="10" spans="2:17" ht="21" customHeight="1" x14ac:dyDescent="0.25">
      <c r="B10" s="74" t="s">
        <v>7</v>
      </c>
      <c r="C10" s="168">
        <v>325.3</v>
      </c>
      <c r="D10" s="168">
        <v>346.28199999999998</v>
      </c>
      <c r="E10" s="168">
        <v>258.197</v>
      </c>
      <c r="F10" s="169"/>
      <c r="G10" s="169"/>
      <c r="H10" s="149">
        <v>17.939</v>
      </c>
      <c r="I10" s="149">
        <v>17.97</v>
      </c>
      <c r="J10" s="149">
        <v>10.09</v>
      </c>
      <c r="K10" s="782"/>
      <c r="L10" s="164"/>
      <c r="M10" s="164"/>
      <c r="N10" s="164"/>
      <c r="O10" s="164"/>
      <c r="P10" s="164"/>
      <c r="Q10" s="300"/>
    </row>
    <row r="11" spans="2:17" ht="21" customHeight="1" x14ac:dyDescent="0.25">
      <c r="B11" s="74" t="s">
        <v>8</v>
      </c>
      <c r="C11" s="168">
        <v>265.39100000000002</v>
      </c>
      <c r="D11" s="168">
        <v>302.36500000000001</v>
      </c>
      <c r="E11" s="168">
        <v>257.262</v>
      </c>
      <c r="F11" s="169"/>
      <c r="G11" s="169"/>
      <c r="H11" s="149">
        <v>17.899999999999999</v>
      </c>
      <c r="I11" s="149">
        <v>17.97</v>
      </c>
      <c r="J11" s="149">
        <v>10.98</v>
      </c>
      <c r="K11" s="782"/>
      <c r="L11" s="164"/>
      <c r="M11" s="164"/>
      <c r="N11" s="164"/>
      <c r="O11" s="164"/>
      <c r="P11" s="164"/>
      <c r="Q11" s="300"/>
    </row>
    <row r="12" spans="2:17" ht="21" customHeight="1" x14ac:dyDescent="0.25">
      <c r="B12" s="74" t="s">
        <v>9</v>
      </c>
      <c r="C12" s="168">
        <v>261.27999999999997</v>
      </c>
      <c r="D12" s="168">
        <v>298.26299999999998</v>
      </c>
      <c r="E12" s="168">
        <v>258.851</v>
      </c>
      <c r="F12" s="169"/>
      <c r="G12" s="169">
        <v>20.399999999999999</v>
      </c>
      <c r="H12" s="149">
        <v>17.722999999999999</v>
      </c>
      <c r="I12" s="149">
        <v>8.4350000000000005</v>
      </c>
      <c r="J12" s="149">
        <v>10.55</v>
      </c>
      <c r="K12" s="782"/>
      <c r="L12" s="164"/>
      <c r="M12" s="164"/>
      <c r="N12" s="164"/>
      <c r="O12" s="164"/>
      <c r="P12" s="164"/>
      <c r="Q12" s="300"/>
    </row>
    <row r="13" spans="2:17" ht="21" customHeight="1" x14ac:dyDescent="0.25">
      <c r="B13" s="74" t="s">
        <v>10</v>
      </c>
      <c r="C13" s="168">
        <v>261.84100000000001</v>
      </c>
      <c r="D13" s="168">
        <v>296.399</v>
      </c>
      <c r="E13" s="168">
        <v>258.75700000000001</v>
      </c>
      <c r="F13" s="169"/>
      <c r="G13" s="169">
        <v>20.399999999999999</v>
      </c>
      <c r="H13" s="149">
        <v>17.701000000000001</v>
      </c>
      <c r="I13" s="149">
        <v>8.6219999999999999</v>
      </c>
      <c r="J13" s="149">
        <v>9.86</v>
      </c>
      <c r="K13" s="782"/>
      <c r="L13" s="164"/>
      <c r="M13" s="164"/>
      <c r="N13" s="164"/>
      <c r="O13" s="164"/>
      <c r="P13" s="164"/>
      <c r="Q13" s="300"/>
    </row>
    <row r="14" spans="2:17" ht="21" customHeight="1" x14ac:dyDescent="0.25">
      <c r="B14" s="74" t="s">
        <v>11</v>
      </c>
      <c r="C14" s="168">
        <v>238.28200000000001</v>
      </c>
      <c r="D14" s="168">
        <v>273.68</v>
      </c>
      <c r="E14" s="168">
        <v>240.63399999999999</v>
      </c>
      <c r="F14" s="169"/>
      <c r="G14" s="169">
        <v>17.923999999999999</v>
      </c>
      <c r="H14" s="149">
        <v>17.931999999999999</v>
      </c>
      <c r="I14" s="149">
        <v>8.3539999999999992</v>
      </c>
      <c r="J14" s="149">
        <v>8.09</v>
      </c>
      <c r="K14" s="782"/>
      <c r="L14" s="164"/>
      <c r="M14" s="164"/>
      <c r="N14" s="164"/>
      <c r="O14" s="164"/>
      <c r="P14" s="164"/>
      <c r="Q14" s="299"/>
    </row>
    <row r="15" spans="2:17" ht="21" customHeight="1" x14ac:dyDescent="0.25">
      <c r="B15" s="74" t="s">
        <v>12</v>
      </c>
      <c r="C15" s="168">
        <v>219.642</v>
      </c>
      <c r="D15" s="168">
        <v>245.39599999999999</v>
      </c>
      <c r="E15" s="168">
        <v>261.09300000000002</v>
      </c>
      <c r="F15" s="169"/>
      <c r="G15" s="169">
        <v>18.009</v>
      </c>
      <c r="H15" s="149">
        <v>18.085000000000001</v>
      </c>
      <c r="I15" s="149">
        <v>8.3539999999999992</v>
      </c>
      <c r="J15" s="149">
        <v>6.44</v>
      </c>
      <c r="K15" s="782"/>
      <c r="L15" s="164"/>
      <c r="M15" s="164"/>
      <c r="N15" s="164"/>
      <c r="O15" s="164"/>
      <c r="P15" s="164"/>
      <c r="Q15" s="300"/>
    </row>
    <row r="16" spans="2:17" ht="21" customHeight="1" thickBot="1" x14ac:dyDescent="0.3">
      <c r="B16" s="77" t="s">
        <v>13</v>
      </c>
      <c r="C16" s="170">
        <v>268.04500000000002</v>
      </c>
      <c r="D16" s="170">
        <v>276.41699999999997</v>
      </c>
      <c r="E16" s="170">
        <v>301.33999999999997</v>
      </c>
      <c r="F16" s="171"/>
      <c r="G16" s="171">
        <v>18.376999999999999</v>
      </c>
      <c r="H16" s="150">
        <v>17.93</v>
      </c>
      <c r="I16" s="150">
        <v>8.3539999999999992</v>
      </c>
      <c r="J16" s="150">
        <v>6.95</v>
      </c>
      <c r="K16" s="783"/>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RowHeight="12.75" x14ac:dyDescent="0.2"/>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x14ac:dyDescent="0.3">
      <c r="B2" s="268" t="s">
        <v>0</v>
      </c>
      <c r="C2" s="268"/>
      <c r="D2" s="268"/>
      <c r="E2" s="268"/>
      <c r="F2" s="268"/>
      <c r="G2" s="268"/>
    </row>
    <row r="3" spans="2:8" ht="13.5" thickBot="1" x14ac:dyDescent="0.25"/>
    <row r="4" spans="2:8" ht="18.75" x14ac:dyDescent="0.3">
      <c r="B4" s="270" t="s">
        <v>1</v>
      </c>
      <c r="C4" s="271">
        <v>2012</v>
      </c>
      <c r="D4" s="271">
        <v>2013</v>
      </c>
      <c r="E4" s="271">
        <v>2014</v>
      </c>
      <c r="F4" s="271">
        <v>2015</v>
      </c>
      <c r="G4" s="272">
        <v>2016</v>
      </c>
    </row>
    <row r="5" spans="2:8" ht="21" customHeight="1" x14ac:dyDescent="0.25">
      <c r="B5" s="273" t="s">
        <v>2</v>
      </c>
      <c r="C5" s="274">
        <v>26.94</v>
      </c>
      <c r="D5" s="274">
        <v>38.625</v>
      </c>
      <c r="E5" s="274">
        <v>19.600000000000001</v>
      </c>
      <c r="F5" s="275">
        <v>21.2</v>
      </c>
      <c r="G5" s="275">
        <v>29.4</v>
      </c>
    </row>
    <row r="6" spans="2:8" ht="21" customHeight="1" x14ac:dyDescent="0.25">
      <c r="B6" s="273" t="s">
        <v>3</v>
      </c>
      <c r="C6" s="274">
        <v>36.78</v>
      </c>
      <c r="D6" s="274">
        <v>37.6</v>
      </c>
      <c r="E6" s="274">
        <v>21.2</v>
      </c>
      <c r="F6" s="275">
        <v>36.774999999999999</v>
      </c>
      <c r="G6" s="275">
        <v>0</v>
      </c>
    </row>
    <row r="7" spans="2:8" ht="21" customHeight="1" x14ac:dyDescent="0.25">
      <c r="B7" s="273" t="s">
        <v>4</v>
      </c>
      <c r="C7" s="274">
        <v>30.63</v>
      </c>
      <c r="D7" s="274">
        <v>41.7</v>
      </c>
      <c r="E7" s="274">
        <v>32.270000000000003</v>
      </c>
      <c r="F7" s="275">
        <v>35.755000000000003</v>
      </c>
      <c r="G7" s="275">
        <v>0</v>
      </c>
    </row>
    <row r="8" spans="2:8" ht="21" customHeight="1" x14ac:dyDescent="0.25">
      <c r="B8" s="273" t="s">
        <v>5</v>
      </c>
      <c r="C8" s="274">
        <v>36.784999999999997</v>
      </c>
      <c r="D8" s="274">
        <v>46.2</v>
      </c>
      <c r="E8" s="274">
        <v>38.625</v>
      </c>
      <c r="F8" s="275">
        <v>45.8</v>
      </c>
      <c r="G8" s="275">
        <v>0</v>
      </c>
    </row>
    <row r="9" spans="2:8" ht="21" customHeight="1" x14ac:dyDescent="0.25">
      <c r="B9" s="273" t="s">
        <v>6</v>
      </c>
      <c r="C9" s="274">
        <v>40.880000000000003</v>
      </c>
      <c r="D9" s="274">
        <v>47.44</v>
      </c>
      <c r="E9" s="274">
        <v>34.935000000000002</v>
      </c>
      <c r="F9" s="275">
        <v>38.83</v>
      </c>
      <c r="G9" s="275">
        <v>0</v>
      </c>
      <c r="H9" s="276"/>
    </row>
    <row r="10" spans="2:8" ht="21" customHeight="1" x14ac:dyDescent="0.25">
      <c r="B10" s="273" t="s">
        <v>7</v>
      </c>
      <c r="C10" s="274">
        <v>26.408000000000001</v>
      </c>
      <c r="D10" s="274">
        <v>43.134</v>
      </c>
      <c r="E10" s="274">
        <v>29.047999999999998</v>
      </c>
      <c r="F10" s="275">
        <v>18</v>
      </c>
      <c r="G10" s="275">
        <v>0</v>
      </c>
    </row>
    <row r="11" spans="2:8" ht="21" customHeight="1" x14ac:dyDescent="0.25">
      <c r="B11" s="273" t="s">
        <v>8</v>
      </c>
      <c r="C11" s="274">
        <v>19.600000000000001</v>
      </c>
      <c r="D11" s="274">
        <v>29.047999999999998</v>
      </c>
      <c r="E11" s="274">
        <v>27.64</v>
      </c>
      <c r="F11" s="275">
        <v>13.33</v>
      </c>
      <c r="G11" s="275">
        <v>0</v>
      </c>
    </row>
    <row r="12" spans="2:8" ht="21" customHeight="1" x14ac:dyDescent="0.25">
      <c r="B12" s="273" t="s">
        <v>9</v>
      </c>
      <c r="C12" s="274">
        <v>18.64</v>
      </c>
      <c r="D12" s="274">
        <v>19.600000000000001</v>
      </c>
      <c r="E12" s="274">
        <v>18.8</v>
      </c>
      <c r="F12" s="275">
        <v>14</v>
      </c>
      <c r="G12" s="275">
        <v>0</v>
      </c>
    </row>
    <row r="13" spans="2:8" ht="21" customHeight="1" x14ac:dyDescent="0.25">
      <c r="B13" s="273" t="s">
        <v>10</v>
      </c>
      <c r="C13" s="274">
        <v>16.32</v>
      </c>
      <c r="D13" s="274">
        <v>15.48</v>
      </c>
      <c r="E13" s="274">
        <v>13.3</v>
      </c>
      <c r="F13" s="275">
        <v>14</v>
      </c>
      <c r="G13" s="275">
        <v>0</v>
      </c>
    </row>
    <row r="14" spans="2:8" ht="21" customHeight="1" x14ac:dyDescent="0.25">
      <c r="B14" s="273" t="s">
        <v>11</v>
      </c>
      <c r="C14" s="274">
        <v>16.04</v>
      </c>
      <c r="D14" s="274">
        <v>16.04</v>
      </c>
      <c r="E14" s="274">
        <v>10.98</v>
      </c>
      <c r="F14" s="275">
        <v>10.98</v>
      </c>
      <c r="G14" s="275">
        <v>0</v>
      </c>
    </row>
    <row r="15" spans="2:8" ht="21" customHeight="1" x14ac:dyDescent="0.25">
      <c r="B15" s="273" t="s">
        <v>12</v>
      </c>
      <c r="C15" s="274">
        <v>19.440000000000001</v>
      </c>
      <c r="D15" s="274">
        <v>17.3</v>
      </c>
      <c r="E15" s="274">
        <v>14.96</v>
      </c>
      <c r="F15" s="275">
        <v>20.079999999999998</v>
      </c>
      <c r="G15" s="275">
        <v>0</v>
      </c>
    </row>
    <row r="16" spans="2:8" ht="21" customHeight="1" thickBot="1" x14ac:dyDescent="0.3">
      <c r="B16" s="277" t="s">
        <v>13</v>
      </c>
      <c r="C16" s="278">
        <v>25.527999999999999</v>
      </c>
      <c r="D16" s="278">
        <v>18.8</v>
      </c>
      <c r="E16" s="278">
        <v>16.18</v>
      </c>
      <c r="F16" s="279">
        <v>26.936</v>
      </c>
      <c r="G16" s="279">
        <v>0</v>
      </c>
    </row>
    <row r="46" spans="2:3" x14ac:dyDescent="0.2">
      <c r="B46" s="280" t="s">
        <v>14</v>
      </c>
      <c r="C46" s="280"/>
    </row>
    <row r="47" spans="2:3" x14ac:dyDescent="0.2">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R55"/>
  <sheetViews>
    <sheetView view="pageBreakPreview" topLeftCell="A7" zoomScale="90" zoomScaleSheetLayoutView="90" workbookViewId="0">
      <selection activeCell="L11" sqref="L11"/>
    </sheetView>
  </sheetViews>
  <sheetFormatPr defaultRowHeight="12.75" x14ac:dyDescent="0.2"/>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x14ac:dyDescent="0.3">
      <c r="B2" s="823" t="s">
        <v>303</v>
      </c>
      <c r="C2" s="823"/>
      <c r="D2" s="823"/>
      <c r="E2" s="823"/>
      <c r="F2" s="823"/>
      <c r="G2" s="823"/>
      <c r="H2" s="823"/>
      <c r="I2" s="823"/>
      <c r="J2" s="823"/>
      <c r="K2" s="823"/>
      <c r="L2" s="750"/>
      <c r="M2" s="268"/>
      <c r="N2" s="268"/>
      <c r="O2" s="268"/>
      <c r="P2" s="268"/>
      <c r="Q2" s="268"/>
      <c r="R2" s="268"/>
    </row>
    <row r="3" spans="2:18" ht="13.5" thickBot="1" x14ac:dyDescent="0.25"/>
    <row r="4" spans="2:18" ht="27" customHeight="1" x14ac:dyDescent="0.2">
      <c r="B4" s="711" t="s">
        <v>1</v>
      </c>
      <c r="C4" s="712" t="s">
        <v>304</v>
      </c>
      <c r="D4" s="713">
        <v>2012</v>
      </c>
      <c r="E4" s="713">
        <v>2013</v>
      </c>
      <c r="F4" s="713">
        <v>2014</v>
      </c>
      <c r="G4" s="714">
        <v>2015</v>
      </c>
      <c r="H4" s="714">
        <v>2016</v>
      </c>
      <c r="I4" s="714">
        <v>2017</v>
      </c>
      <c r="J4" s="714">
        <v>2018</v>
      </c>
      <c r="K4" s="714">
        <v>2019</v>
      </c>
      <c r="L4" s="751">
        <v>2020</v>
      </c>
      <c r="M4" s="281"/>
      <c r="N4" s="282"/>
      <c r="O4" s="282"/>
      <c r="P4" s="282"/>
      <c r="Q4" s="282"/>
      <c r="R4" s="282"/>
    </row>
    <row r="5" spans="2:18" ht="21" customHeight="1" x14ac:dyDescent="0.3">
      <c r="B5" s="438" t="s">
        <v>2</v>
      </c>
      <c r="C5" s="709">
        <v>104.27</v>
      </c>
      <c r="D5" s="715">
        <v>634.45000000000005</v>
      </c>
      <c r="E5" s="715">
        <v>438.41699999999997</v>
      </c>
      <c r="F5" s="715">
        <v>473.64</v>
      </c>
      <c r="G5" s="716">
        <v>322.226</v>
      </c>
      <c r="H5" s="716">
        <v>154.678</v>
      </c>
      <c r="I5" s="719">
        <v>694.30799999999999</v>
      </c>
      <c r="J5" s="719">
        <v>532.74599999999998</v>
      </c>
      <c r="K5" s="719">
        <v>214.03700000000001</v>
      </c>
      <c r="L5" s="784">
        <v>177.51499999999999</v>
      </c>
      <c r="M5" s="283"/>
      <c r="N5" s="284"/>
      <c r="O5" s="284"/>
      <c r="P5" s="284"/>
      <c r="Q5" s="284"/>
      <c r="R5" s="284"/>
    </row>
    <row r="6" spans="2:18" ht="21" customHeight="1" x14ac:dyDescent="0.3">
      <c r="B6" s="438" t="s">
        <v>3</v>
      </c>
      <c r="C6" s="709">
        <v>104.27</v>
      </c>
      <c r="D6" s="715">
        <v>685.53</v>
      </c>
      <c r="E6" s="715">
        <v>526.01599999999996</v>
      </c>
      <c r="F6" s="715">
        <v>521.66</v>
      </c>
      <c r="G6" s="716">
        <v>517.93700000000001</v>
      </c>
      <c r="H6" s="716">
        <v>298.45100000000002</v>
      </c>
      <c r="I6" s="719">
        <v>688.57500000000005</v>
      </c>
      <c r="J6" s="719">
        <v>670.02</v>
      </c>
      <c r="K6" s="719">
        <v>324.33499999999998</v>
      </c>
      <c r="L6" s="784">
        <v>294.62900000000002</v>
      </c>
      <c r="M6" s="283"/>
      <c r="N6" s="284"/>
      <c r="O6" s="284"/>
      <c r="P6" s="284"/>
      <c r="Q6" s="284"/>
      <c r="R6" s="284"/>
    </row>
    <row r="7" spans="2:18" ht="21" customHeight="1" x14ac:dyDescent="0.3">
      <c r="B7" s="438" t="s">
        <v>4</v>
      </c>
      <c r="C7" s="709">
        <v>104.27</v>
      </c>
      <c r="D7" s="715">
        <v>679.47</v>
      </c>
      <c r="E7" s="715">
        <v>674.24699999999996</v>
      </c>
      <c r="F7" s="715">
        <v>603.81799999999998</v>
      </c>
      <c r="G7" s="716">
        <v>624.99099999999999</v>
      </c>
      <c r="H7" s="716">
        <v>349.92099999999999</v>
      </c>
      <c r="I7" s="719">
        <v>631.97299999999996</v>
      </c>
      <c r="J7" s="719">
        <v>655.83399999999995</v>
      </c>
      <c r="K7" s="719">
        <v>407.089</v>
      </c>
      <c r="L7" s="784"/>
      <c r="M7" s="283"/>
      <c r="N7" s="284"/>
      <c r="O7" s="284"/>
      <c r="P7" s="284"/>
      <c r="Q7" s="284"/>
      <c r="R7" s="284"/>
    </row>
    <row r="8" spans="2:18" ht="21" customHeight="1" x14ac:dyDescent="0.3">
      <c r="B8" s="438" t="s">
        <v>5</v>
      </c>
      <c r="C8" s="709">
        <v>104.27</v>
      </c>
      <c r="D8" s="715">
        <v>655.19399999999996</v>
      </c>
      <c r="E8" s="715">
        <v>721.81299999999999</v>
      </c>
      <c r="F8" s="715">
        <v>656.19100000000003</v>
      </c>
      <c r="G8" s="716">
        <v>706.18299999999999</v>
      </c>
      <c r="H8" s="716">
        <v>377.25400000000002</v>
      </c>
      <c r="I8" s="719">
        <v>672.57600000000002</v>
      </c>
      <c r="J8" s="719">
        <v>565.30999999999995</v>
      </c>
      <c r="K8" s="719">
        <v>485.29199999999997</v>
      </c>
      <c r="L8" s="784"/>
      <c r="M8" s="283"/>
      <c r="N8" s="284"/>
      <c r="O8" s="284"/>
      <c r="P8" s="285"/>
      <c r="Q8" s="284"/>
      <c r="R8" s="284"/>
    </row>
    <row r="9" spans="2:18" ht="21" customHeight="1" x14ac:dyDescent="0.3">
      <c r="B9" s="438" t="s">
        <v>6</v>
      </c>
      <c r="C9" s="709">
        <v>104.27</v>
      </c>
      <c r="D9" s="715">
        <v>586.59</v>
      </c>
      <c r="E9" s="715">
        <v>674.64800000000002</v>
      </c>
      <c r="F9" s="715">
        <v>602.63300000000004</v>
      </c>
      <c r="G9" s="716">
        <v>640.05600000000004</v>
      </c>
      <c r="H9" s="716">
        <v>356.87400000000002</v>
      </c>
      <c r="I9" s="719">
        <v>599.19000000000005</v>
      </c>
      <c r="J9" s="719">
        <v>445.02800000000002</v>
      </c>
      <c r="K9" s="719">
        <v>389.49799999999999</v>
      </c>
      <c r="L9" s="784"/>
      <c r="M9" s="283"/>
      <c r="N9" s="284"/>
      <c r="O9" s="284"/>
      <c r="P9" s="284"/>
      <c r="Q9" s="284"/>
      <c r="R9" s="284"/>
    </row>
    <row r="10" spans="2:18" ht="21" customHeight="1" x14ac:dyDescent="0.3">
      <c r="B10" s="438" t="s">
        <v>7</v>
      </c>
      <c r="C10" s="709">
        <v>104.27</v>
      </c>
      <c r="D10" s="715">
        <v>569.24</v>
      </c>
      <c r="E10" s="715">
        <v>711.37800000000004</v>
      </c>
      <c r="F10" s="715">
        <v>580.03499999999997</v>
      </c>
      <c r="G10" s="716">
        <v>583.11900000000003</v>
      </c>
      <c r="H10" s="716">
        <v>402.73200000000003</v>
      </c>
      <c r="I10" s="719">
        <v>578.61</v>
      </c>
      <c r="J10" s="719">
        <v>418.86200000000002</v>
      </c>
      <c r="K10" s="719">
        <v>329.93</v>
      </c>
      <c r="L10" s="784"/>
      <c r="M10" s="283"/>
      <c r="N10" s="284"/>
      <c r="O10" s="284"/>
      <c r="P10" s="284"/>
      <c r="Q10" s="284"/>
      <c r="R10" s="284"/>
    </row>
    <row r="11" spans="2:18" ht="21" customHeight="1" x14ac:dyDescent="0.3">
      <c r="B11" s="438" t="s">
        <v>8</v>
      </c>
      <c r="C11" s="709">
        <v>104.27</v>
      </c>
      <c r="D11" s="715">
        <v>550.83600000000001</v>
      </c>
      <c r="E11" s="715">
        <v>682.29399999999998</v>
      </c>
      <c r="F11" s="715">
        <v>583.11900000000003</v>
      </c>
      <c r="G11" s="716">
        <v>568.947</v>
      </c>
      <c r="H11" s="716">
        <v>447.35399999999998</v>
      </c>
      <c r="I11" s="719">
        <v>581.85400000000004</v>
      </c>
      <c r="J11" s="719">
        <v>409.64499999999998</v>
      </c>
      <c r="K11" s="719">
        <v>314.68799999999999</v>
      </c>
      <c r="L11" s="784"/>
      <c r="M11" s="283"/>
      <c r="N11" s="284"/>
      <c r="O11" s="284"/>
      <c r="P11" s="284"/>
      <c r="Q11" s="284"/>
      <c r="R11" s="284"/>
    </row>
    <row r="12" spans="2:18" ht="21" customHeight="1" x14ac:dyDescent="0.3">
      <c r="B12" s="438" t="s">
        <v>9</v>
      </c>
      <c r="C12" s="709">
        <v>104.27</v>
      </c>
      <c r="D12" s="715">
        <v>542.47699999999998</v>
      </c>
      <c r="E12" s="715">
        <v>682.29399999999998</v>
      </c>
      <c r="F12" s="715">
        <v>589.31799999999998</v>
      </c>
      <c r="G12" s="716">
        <v>526.08000000000004</v>
      </c>
      <c r="H12" s="716">
        <v>459.10899999999998</v>
      </c>
      <c r="I12" s="719">
        <v>581.39</v>
      </c>
      <c r="J12" s="719">
        <v>393.04599999999999</v>
      </c>
      <c r="K12" s="719">
        <v>302.90300000000002</v>
      </c>
      <c r="L12" s="784"/>
      <c r="M12" s="283"/>
      <c r="N12" s="284"/>
      <c r="O12" s="284"/>
      <c r="P12" s="284"/>
      <c r="Q12" s="284"/>
      <c r="R12" s="284"/>
    </row>
    <row r="13" spans="2:18" ht="21" customHeight="1" x14ac:dyDescent="0.3">
      <c r="B13" s="438" t="s">
        <v>10</v>
      </c>
      <c r="C13" s="709">
        <v>104.27</v>
      </c>
      <c r="D13" s="715">
        <v>525.67700000000002</v>
      </c>
      <c r="E13" s="715">
        <v>550.52800000000002</v>
      </c>
      <c r="F13" s="715">
        <v>470.94799999999998</v>
      </c>
      <c r="G13" s="716">
        <v>374.14800000000002</v>
      </c>
      <c r="H13" s="716">
        <v>524.82000000000005</v>
      </c>
      <c r="I13" s="719">
        <v>537.57000000000005</v>
      </c>
      <c r="J13" s="719">
        <v>360.88900000000001</v>
      </c>
      <c r="K13" s="719">
        <v>279.67099999999999</v>
      </c>
      <c r="L13" s="784"/>
      <c r="M13" s="283"/>
      <c r="N13" s="284"/>
      <c r="O13" s="284"/>
      <c r="P13" s="284"/>
      <c r="Q13" s="284"/>
      <c r="R13" s="284"/>
    </row>
    <row r="14" spans="2:18" ht="21" customHeight="1" x14ac:dyDescent="0.3">
      <c r="B14" s="438" t="s">
        <v>11</v>
      </c>
      <c r="C14" s="709">
        <v>104.27</v>
      </c>
      <c r="D14" s="715">
        <v>361.69600000000003</v>
      </c>
      <c r="E14" s="715">
        <v>410.85300000000001</v>
      </c>
      <c r="F14" s="715">
        <v>312.81099999999998</v>
      </c>
      <c r="G14" s="716">
        <v>210.16300000000001</v>
      </c>
      <c r="H14" s="716">
        <v>576.303</v>
      </c>
      <c r="I14" s="719">
        <v>388.791</v>
      </c>
      <c r="J14" s="719">
        <v>320.23</v>
      </c>
      <c r="K14" s="719">
        <v>258.798</v>
      </c>
      <c r="L14" s="784"/>
      <c r="M14" s="283"/>
      <c r="N14" s="284"/>
      <c r="O14" s="284"/>
      <c r="P14" s="284"/>
      <c r="Q14" s="284"/>
      <c r="R14" s="284"/>
    </row>
    <row r="15" spans="2:18" ht="21" customHeight="1" x14ac:dyDescent="0.3">
      <c r="B15" s="438" t="s">
        <v>12</v>
      </c>
      <c r="C15" s="709">
        <v>104.27</v>
      </c>
      <c r="D15" s="715">
        <v>272.79599999999999</v>
      </c>
      <c r="E15" s="715">
        <v>338.93700000000001</v>
      </c>
      <c r="F15" s="715">
        <v>243.71799999999999</v>
      </c>
      <c r="G15" s="716">
        <v>99.438000000000002</v>
      </c>
      <c r="H15" s="716">
        <v>599.19600000000003</v>
      </c>
      <c r="I15" s="719">
        <v>365.27300000000002</v>
      </c>
      <c r="J15" s="719">
        <v>83.424000000000007</v>
      </c>
      <c r="K15" s="719">
        <v>110.73399999999999</v>
      </c>
      <c r="L15" s="784"/>
      <c r="M15" s="283"/>
      <c r="N15" s="284"/>
      <c r="O15" s="284"/>
      <c r="P15" s="284"/>
      <c r="Q15" s="284"/>
      <c r="R15" s="284"/>
    </row>
    <row r="16" spans="2:18" ht="21" customHeight="1" thickBot="1" x14ac:dyDescent="0.35">
      <c r="B16" s="441" t="s">
        <v>13</v>
      </c>
      <c r="C16" s="710">
        <v>104.27</v>
      </c>
      <c r="D16" s="717">
        <v>81.23</v>
      </c>
      <c r="E16" s="717">
        <v>384.69600000000003</v>
      </c>
      <c r="F16" s="717">
        <v>308.40100000000001</v>
      </c>
      <c r="G16" s="718">
        <v>115.675</v>
      </c>
      <c r="H16" s="718">
        <v>597.04200000000003</v>
      </c>
      <c r="I16" s="720">
        <v>440.01600000000002</v>
      </c>
      <c r="J16" s="720">
        <v>134.81899999999999</v>
      </c>
      <c r="K16" s="720">
        <v>82.319000000000003</v>
      </c>
      <c r="L16" s="785"/>
      <c r="M16" s="283"/>
      <c r="N16" s="286"/>
      <c r="O16" s="286"/>
      <c r="P16" s="286"/>
      <c r="Q16" s="286"/>
      <c r="R16" s="286"/>
    </row>
    <row r="47" spans="2:13" x14ac:dyDescent="0.2">
      <c r="B47" s="287"/>
      <c r="C47" s="287"/>
      <c r="M47" s="287"/>
    </row>
    <row r="49" spans="2:13" x14ac:dyDescent="0.2">
      <c r="B49" s="287"/>
      <c r="C49" s="287"/>
      <c r="M49" s="287"/>
    </row>
    <row r="50" spans="2:13" x14ac:dyDescent="0.2">
      <c r="D50" s="280"/>
    </row>
    <row r="51" spans="2:13" x14ac:dyDescent="0.2">
      <c r="D51" s="280"/>
    </row>
    <row r="53" spans="2:13" x14ac:dyDescent="0.2">
      <c r="B53" s="280" t="s">
        <v>14</v>
      </c>
      <c r="C53" s="280"/>
    </row>
    <row r="54" spans="2:13" x14ac:dyDescent="0.2">
      <c r="B54" s="288" t="s">
        <v>131</v>
      </c>
      <c r="C54" s="288"/>
    </row>
    <row r="55" spans="2:13" x14ac:dyDescent="0.2">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2"/>
  <sheetViews>
    <sheetView topLeftCell="A19" workbookViewId="0">
      <selection activeCell="I10" sqref="I10"/>
    </sheetView>
  </sheetViews>
  <sheetFormatPr defaultRowHeight="12.75" x14ac:dyDescent="0.2"/>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x14ac:dyDescent="0.3">
      <c r="B2" s="268" t="s">
        <v>172</v>
      </c>
      <c r="C2" s="268"/>
      <c r="D2" s="268"/>
      <c r="E2" s="268"/>
      <c r="F2" s="268"/>
      <c r="G2" s="268"/>
      <c r="J2" s="289"/>
      <c r="K2" s="289"/>
      <c r="L2" s="289"/>
      <c r="M2" s="289"/>
      <c r="N2" s="289"/>
      <c r="O2" s="289"/>
      <c r="P2" s="289"/>
      <c r="Q2" s="289"/>
    </row>
    <row r="3" spans="2:17" ht="13.5" thickBot="1" x14ac:dyDescent="0.25">
      <c r="J3" s="290"/>
      <c r="K3" s="290"/>
      <c r="L3" s="290"/>
      <c r="M3" s="290"/>
      <c r="N3" s="290"/>
      <c r="O3" s="290"/>
      <c r="P3" s="290"/>
      <c r="Q3" s="290"/>
    </row>
    <row r="4" spans="2:17" ht="24.95" customHeight="1" thickBot="1" x14ac:dyDescent="0.35">
      <c r="B4" s="161" t="s">
        <v>1</v>
      </c>
      <c r="C4" s="162" t="s">
        <v>152</v>
      </c>
      <c r="D4" s="162" t="s">
        <v>156</v>
      </c>
      <c r="E4" s="162" t="s">
        <v>228</v>
      </c>
      <c r="F4" s="162" t="s">
        <v>297</v>
      </c>
      <c r="G4" s="162" t="s">
        <v>298</v>
      </c>
      <c r="H4" s="162" t="s">
        <v>300</v>
      </c>
      <c r="I4" s="754" t="s">
        <v>305</v>
      </c>
      <c r="J4" s="651"/>
      <c r="K4" s="160"/>
      <c r="L4" s="160"/>
      <c r="M4" s="160"/>
      <c r="N4" s="160"/>
      <c r="O4" s="160"/>
      <c r="P4" s="160"/>
      <c r="Q4" s="291"/>
    </row>
    <row r="5" spans="2:17" ht="21" customHeight="1" x14ac:dyDescent="0.25">
      <c r="B5" s="153" t="s">
        <v>2</v>
      </c>
      <c r="C5" s="292">
        <v>353.17599999999999</v>
      </c>
      <c r="D5" s="292">
        <v>315.68599999999998</v>
      </c>
      <c r="E5" s="292">
        <v>133.73599999999999</v>
      </c>
      <c r="F5" s="292">
        <v>238.26400000000001</v>
      </c>
      <c r="G5" s="292">
        <v>286.69200000000001</v>
      </c>
      <c r="H5" s="149">
        <v>119.494</v>
      </c>
      <c r="I5" s="782">
        <v>79.963999999999999</v>
      </c>
      <c r="J5" s="164"/>
      <c r="K5" s="158"/>
      <c r="L5" s="158"/>
      <c r="M5" s="158"/>
      <c r="N5" s="158"/>
      <c r="O5" s="158"/>
      <c r="P5" s="158"/>
      <c r="Q5" s="293"/>
    </row>
    <row r="6" spans="2:17" ht="21" customHeight="1" x14ac:dyDescent="0.25">
      <c r="B6" s="74" t="s">
        <v>3</v>
      </c>
      <c r="C6" s="292">
        <v>331.59</v>
      </c>
      <c r="D6" s="292">
        <v>371.48700000000002</v>
      </c>
      <c r="E6" s="292">
        <v>290.23500000000001</v>
      </c>
      <c r="F6" s="292">
        <v>297.39600000000002</v>
      </c>
      <c r="G6" s="292">
        <v>307.38</v>
      </c>
      <c r="H6" s="149">
        <v>203.61600000000001</v>
      </c>
      <c r="I6" s="782">
        <v>220.17599999999999</v>
      </c>
      <c r="J6" s="164"/>
      <c r="K6" s="158"/>
      <c r="L6" s="158"/>
      <c r="M6" s="158"/>
      <c r="N6" s="158"/>
      <c r="O6" s="158"/>
      <c r="P6" s="159"/>
      <c r="Q6" s="293"/>
    </row>
    <row r="7" spans="2:17" ht="21" customHeight="1" x14ac:dyDescent="0.25">
      <c r="B7" s="74" t="s">
        <v>4</v>
      </c>
      <c r="C7" s="292">
        <v>359.11399999999998</v>
      </c>
      <c r="D7" s="292">
        <v>367.95400000000001</v>
      </c>
      <c r="E7" s="292">
        <v>330.25700000000001</v>
      </c>
      <c r="F7" s="292">
        <v>343.71800000000002</v>
      </c>
      <c r="G7" s="292">
        <v>346.15</v>
      </c>
      <c r="H7" s="149">
        <v>352.09800000000001</v>
      </c>
      <c r="I7" s="782"/>
      <c r="J7" s="164"/>
      <c r="K7" s="158"/>
      <c r="L7" s="158"/>
      <c r="M7" s="158"/>
      <c r="N7" s="158"/>
      <c r="O7" s="158"/>
      <c r="P7" s="158"/>
      <c r="Q7" s="293"/>
    </row>
    <row r="8" spans="2:17" ht="21" customHeight="1" x14ac:dyDescent="0.25">
      <c r="B8" s="74" t="s">
        <v>5</v>
      </c>
      <c r="C8" s="292">
        <v>351.21499999999997</v>
      </c>
      <c r="D8" s="292">
        <v>379.62900000000002</v>
      </c>
      <c r="E8" s="292">
        <v>363.94</v>
      </c>
      <c r="F8" s="292">
        <v>364.435</v>
      </c>
      <c r="G8" s="292">
        <v>363.43599999999998</v>
      </c>
      <c r="H8" s="149">
        <v>330.5</v>
      </c>
      <c r="I8" s="782"/>
      <c r="J8" s="164"/>
      <c r="K8" s="158"/>
      <c r="L8" s="158"/>
      <c r="M8" s="158"/>
      <c r="N8" s="158"/>
      <c r="O8" s="158"/>
      <c r="P8" s="158"/>
      <c r="Q8" s="293"/>
    </row>
    <row r="9" spans="2:17" ht="21" customHeight="1" x14ac:dyDescent="0.25">
      <c r="B9" s="74" t="s">
        <v>6</v>
      </c>
      <c r="C9" s="292">
        <v>314.553</v>
      </c>
      <c r="D9" s="292">
        <v>360.93900000000002</v>
      </c>
      <c r="E9" s="292">
        <v>355.47699999999998</v>
      </c>
      <c r="F9" s="292">
        <v>337.43400000000003</v>
      </c>
      <c r="G9" s="292">
        <v>310.59899999999999</v>
      </c>
      <c r="H9" s="149">
        <v>280.04000000000002</v>
      </c>
      <c r="I9" s="782"/>
      <c r="J9" s="164"/>
      <c r="K9" s="158"/>
      <c r="L9" s="158"/>
      <c r="M9" s="158"/>
      <c r="N9" s="158"/>
      <c r="O9" s="158"/>
      <c r="P9" s="158"/>
      <c r="Q9" s="294"/>
    </row>
    <row r="10" spans="2:17" ht="21" customHeight="1" x14ac:dyDescent="0.25">
      <c r="B10" s="74" t="s">
        <v>7</v>
      </c>
      <c r="C10" s="292">
        <v>260.99099999999999</v>
      </c>
      <c r="D10" s="292">
        <v>308.3</v>
      </c>
      <c r="E10" s="292">
        <v>344.68799999999999</v>
      </c>
      <c r="F10" s="292">
        <v>286.25</v>
      </c>
      <c r="G10" s="292">
        <v>264.209</v>
      </c>
      <c r="H10" s="149">
        <v>209.46100000000001</v>
      </c>
      <c r="I10" s="782"/>
      <c r="J10" s="164"/>
      <c r="K10" s="158"/>
      <c r="L10" s="158"/>
      <c r="M10" s="158"/>
      <c r="N10" s="158"/>
      <c r="O10" s="158"/>
      <c r="P10" s="158"/>
      <c r="Q10" s="294"/>
    </row>
    <row r="11" spans="2:17" ht="21" customHeight="1" x14ac:dyDescent="0.25">
      <c r="B11" s="74" t="s">
        <v>8</v>
      </c>
      <c r="C11" s="292">
        <v>210</v>
      </c>
      <c r="D11" s="292">
        <v>256.23599999999999</v>
      </c>
      <c r="E11" s="292">
        <v>284.92700000000002</v>
      </c>
      <c r="F11" s="292">
        <v>266.75400000000002</v>
      </c>
      <c r="G11" s="292">
        <v>210.357</v>
      </c>
      <c r="H11" s="149">
        <v>191.196</v>
      </c>
      <c r="I11" s="782"/>
      <c r="J11" s="164"/>
      <c r="K11" s="158"/>
      <c r="L11" s="158"/>
      <c r="M11" s="158"/>
      <c r="N11" s="158"/>
      <c r="O11" s="158"/>
      <c r="P11" s="158"/>
      <c r="Q11" s="294"/>
    </row>
    <row r="12" spans="2:17" ht="21" customHeight="1" x14ac:dyDescent="0.25">
      <c r="B12" s="74" t="s">
        <v>9</v>
      </c>
      <c r="C12" s="292">
        <v>141.459</v>
      </c>
      <c r="D12" s="292">
        <v>179.80699999999999</v>
      </c>
      <c r="E12" s="292">
        <v>160.46299999999999</v>
      </c>
      <c r="F12" s="292">
        <v>134.90199999999999</v>
      </c>
      <c r="G12" s="292">
        <v>136.374</v>
      </c>
      <c r="H12" s="149">
        <v>89.760999999999996</v>
      </c>
      <c r="I12" s="782"/>
      <c r="J12" s="164"/>
      <c r="K12" s="158"/>
      <c r="L12" s="158"/>
      <c r="M12" s="158"/>
      <c r="N12" s="158"/>
      <c r="O12" s="158"/>
      <c r="P12" s="158"/>
      <c r="Q12" s="294"/>
    </row>
    <row r="13" spans="2:17" ht="21" customHeight="1" x14ac:dyDescent="0.25">
      <c r="B13" s="74" t="s">
        <v>10</v>
      </c>
      <c r="C13" s="292">
        <v>67.427000000000007</v>
      </c>
      <c r="D13" s="292">
        <v>103.38200000000001</v>
      </c>
      <c r="E13" s="292">
        <v>135.197</v>
      </c>
      <c r="F13" s="292">
        <v>68.653000000000006</v>
      </c>
      <c r="G13" s="292">
        <v>64.787000000000006</v>
      </c>
      <c r="H13" s="149">
        <v>55.1</v>
      </c>
      <c r="I13" s="782"/>
      <c r="J13" s="164"/>
      <c r="K13" s="158"/>
      <c r="L13" s="158"/>
      <c r="M13" s="158"/>
      <c r="N13" s="158"/>
      <c r="O13" s="158"/>
      <c r="P13" s="158"/>
      <c r="Q13" s="294"/>
    </row>
    <row r="14" spans="2:17" ht="21" customHeight="1" x14ac:dyDescent="0.25">
      <c r="B14" s="74" t="s">
        <v>11</v>
      </c>
      <c r="C14" s="292">
        <v>51.183999999999997</v>
      </c>
      <c r="D14" s="292">
        <v>73.41</v>
      </c>
      <c r="E14" s="292">
        <v>167.65799999999999</v>
      </c>
      <c r="F14" s="292">
        <v>72.596999999999994</v>
      </c>
      <c r="G14" s="292">
        <v>53.749000000000002</v>
      </c>
      <c r="H14" s="149">
        <v>42.188000000000002</v>
      </c>
      <c r="I14" s="782"/>
      <c r="J14" s="164"/>
      <c r="K14" s="158"/>
      <c r="L14" s="158"/>
      <c r="M14" s="158"/>
      <c r="N14" s="158"/>
      <c r="O14" s="158"/>
      <c r="P14" s="158"/>
      <c r="Q14" s="293"/>
    </row>
    <row r="15" spans="2:17" ht="21" customHeight="1" x14ac:dyDescent="0.25">
      <c r="B15" s="74" t="s">
        <v>12</v>
      </c>
      <c r="C15" s="292">
        <v>60.189</v>
      </c>
      <c r="D15" s="292">
        <v>60.189</v>
      </c>
      <c r="E15" s="292">
        <v>209.60900000000001</v>
      </c>
      <c r="F15" s="292">
        <v>113.17</v>
      </c>
      <c r="G15" s="292">
        <v>64.599999999999994</v>
      </c>
      <c r="H15" s="149">
        <v>28.933</v>
      </c>
      <c r="I15" s="782"/>
      <c r="J15" s="164"/>
      <c r="K15" s="158"/>
      <c r="L15" s="158"/>
      <c r="M15" s="158"/>
      <c r="N15" s="158"/>
      <c r="O15" s="158"/>
      <c r="P15" s="158"/>
      <c r="Q15" s="294"/>
    </row>
    <row r="16" spans="2:17" ht="21" customHeight="1" thickBot="1" x14ac:dyDescent="0.3">
      <c r="B16" s="77" t="s">
        <v>13</v>
      </c>
      <c r="C16" s="295">
        <v>248.392</v>
      </c>
      <c r="D16" s="295">
        <v>118.63200000000001</v>
      </c>
      <c r="E16" s="295">
        <v>161.434</v>
      </c>
      <c r="F16" s="295">
        <v>201.834</v>
      </c>
      <c r="G16" s="295">
        <v>79.033000000000001</v>
      </c>
      <c r="H16" s="150">
        <v>36.280999999999999</v>
      </c>
      <c r="I16" s="783"/>
      <c r="J16" s="164"/>
      <c r="K16" s="144"/>
      <c r="L16" s="144"/>
      <c r="M16" s="144"/>
      <c r="N16" s="144"/>
      <c r="O16" s="144"/>
      <c r="P16" s="144"/>
      <c r="Q16" s="296"/>
    </row>
    <row r="17" spans="10:17" x14ac:dyDescent="0.2">
      <c r="J17" s="290"/>
      <c r="K17" s="290"/>
      <c r="L17" s="290"/>
      <c r="M17" s="290"/>
      <c r="N17" s="290"/>
      <c r="O17" s="290"/>
      <c r="P17" s="290"/>
      <c r="Q17" s="290"/>
    </row>
    <row r="18" spans="10:17" x14ac:dyDescent="0.2">
      <c r="J18" s="290"/>
      <c r="K18" s="290"/>
      <c r="L18" s="290"/>
      <c r="M18" s="290"/>
      <c r="N18" s="290"/>
      <c r="O18" s="290"/>
      <c r="P18" s="290"/>
      <c r="Q18" s="290"/>
    </row>
    <row r="19" spans="10:17" x14ac:dyDescent="0.2">
      <c r="J19" s="290"/>
      <c r="K19" s="290"/>
      <c r="L19" s="290"/>
      <c r="M19" s="290"/>
      <c r="N19" s="290"/>
      <c r="O19" s="290"/>
      <c r="P19" s="290"/>
      <c r="Q19" s="290"/>
    </row>
    <row r="20" spans="10:17" x14ac:dyDescent="0.2">
      <c r="J20" s="290"/>
      <c r="K20" s="290"/>
      <c r="L20" s="290"/>
      <c r="M20" s="290"/>
      <c r="N20" s="290"/>
      <c r="O20" s="290"/>
      <c r="P20" s="290"/>
      <c r="Q20" s="290"/>
    </row>
    <row r="21" spans="10:17" x14ac:dyDescent="0.2">
      <c r="J21" s="290"/>
      <c r="K21" s="290"/>
      <c r="L21" s="290"/>
      <c r="M21" s="290"/>
      <c r="N21" s="290"/>
      <c r="O21" s="290"/>
      <c r="P21" s="290"/>
      <c r="Q21" s="290"/>
    </row>
    <row r="22" spans="10:17" x14ac:dyDescent="0.2">
      <c r="J22" s="290"/>
      <c r="K22" s="290"/>
      <c r="L22" s="290"/>
      <c r="M22" s="290"/>
      <c r="N22" s="290"/>
      <c r="O22" s="290"/>
      <c r="P22" s="290"/>
      <c r="Q22" s="290"/>
    </row>
    <row r="23" spans="10:17" x14ac:dyDescent="0.2">
      <c r="J23" s="290"/>
      <c r="K23" s="290"/>
      <c r="L23" s="290"/>
      <c r="M23" s="290"/>
      <c r="N23" s="290"/>
      <c r="O23" s="290"/>
      <c r="P23" s="290"/>
      <c r="Q23" s="290"/>
    </row>
    <row r="24" spans="10:17" x14ac:dyDescent="0.2">
      <c r="J24" s="290"/>
      <c r="K24" s="290"/>
      <c r="L24" s="290"/>
      <c r="M24" s="290"/>
      <c r="N24" s="290"/>
      <c r="O24" s="290"/>
      <c r="P24" s="290"/>
      <c r="Q24" s="290"/>
    </row>
    <row r="25" spans="10:17" x14ac:dyDescent="0.2">
      <c r="J25" s="290"/>
      <c r="K25" s="290"/>
      <c r="L25" s="290"/>
      <c r="M25" s="290"/>
      <c r="N25" s="290"/>
      <c r="O25" s="290"/>
      <c r="P25" s="290"/>
      <c r="Q25" s="290"/>
    </row>
    <row r="26" spans="10:17" x14ac:dyDescent="0.2">
      <c r="J26" s="290"/>
      <c r="K26" s="290"/>
      <c r="L26" s="290"/>
      <c r="M26" s="290"/>
      <c r="N26" s="290"/>
      <c r="O26" s="290"/>
      <c r="P26" s="290"/>
      <c r="Q26" s="290"/>
    </row>
    <row r="27" spans="10:17" x14ac:dyDescent="0.2">
      <c r="J27" s="290"/>
      <c r="K27" s="290"/>
      <c r="L27" s="290"/>
      <c r="M27" s="290"/>
      <c r="N27" s="290"/>
      <c r="O27" s="290"/>
      <c r="P27" s="290"/>
      <c r="Q27" s="290"/>
    </row>
    <row r="28" spans="10:17" x14ac:dyDescent="0.2">
      <c r="J28" s="290"/>
      <c r="K28" s="290"/>
      <c r="L28" s="290"/>
      <c r="M28" s="290"/>
      <c r="N28" s="290"/>
      <c r="O28" s="290"/>
      <c r="P28" s="290"/>
      <c r="Q28" s="290"/>
    </row>
    <row r="29" spans="10:17" x14ac:dyDescent="0.2">
      <c r="J29" s="290"/>
      <c r="K29" s="290"/>
      <c r="L29" s="290"/>
      <c r="M29" s="290"/>
      <c r="N29" s="290"/>
      <c r="O29" s="290"/>
      <c r="P29" s="290"/>
      <c r="Q29" s="290"/>
    </row>
    <row r="30" spans="10:17" x14ac:dyDescent="0.2">
      <c r="J30" s="290"/>
      <c r="K30" s="290"/>
      <c r="L30" s="290"/>
      <c r="M30" s="290"/>
      <c r="N30" s="290"/>
      <c r="O30" s="290"/>
      <c r="P30" s="290"/>
      <c r="Q30" s="290"/>
    </row>
    <row r="31" spans="10:17" x14ac:dyDescent="0.2">
      <c r="J31" s="290"/>
      <c r="K31" s="290"/>
      <c r="L31" s="290"/>
      <c r="M31" s="290"/>
      <c r="N31" s="290"/>
      <c r="O31" s="290"/>
      <c r="P31" s="290"/>
      <c r="Q31" s="290"/>
    </row>
    <row r="32" spans="10:17" x14ac:dyDescent="0.2">
      <c r="J32" s="290"/>
      <c r="K32" s="290"/>
      <c r="L32" s="290"/>
      <c r="M32" s="290"/>
      <c r="N32" s="290"/>
      <c r="O32" s="290"/>
      <c r="P32" s="290"/>
      <c r="Q32" s="290"/>
    </row>
    <row r="33" spans="2:17" x14ac:dyDescent="0.2">
      <c r="J33" s="290"/>
      <c r="K33" s="290"/>
      <c r="L33" s="290"/>
      <c r="M33" s="290"/>
      <c r="N33" s="290"/>
      <c r="O33" s="290"/>
      <c r="P33" s="290"/>
      <c r="Q33" s="290"/>
    </row>
    <row r="34" spans="2:17" x14ac:dyDescent="0.2">
      <c r="J34" s="290"/>
      <c r="K34" s="290"/>
      <c r="L34" s="290"/>
      <c r="M34" s="290"/>
      <c r="N34" s="290"/>
      <c r="O34" s="290"/>
      <c r="P34" s="290"/>
      <c r="Q34" s="290"/>
    </row>
    <row r="35" spans="2:17" x14ac:dyDescent="0.2">
      <c r="J35" s="290"/>
      <c r="K35" s="290"/>
      <c r="L35" s="290"/>
      <c r="M35" s="290"/>
      <c r="N35" s="290"/>
      <c r="O35" s="290"/>
      <c r="P35" s="290"/>
      <c r="Q35" s="290"/>
    </row>
    <row r="36" spans="2:17" x14ac:dyDescent="0.2">
      <c r="J36" s="290"/>
      <c r="K36" s="290"/>
      <c r="L36" s="290"/>
      <c r="M36" s="290"/>
      <c r="N36" s="290"/>
      <c r="O36" s="290"/>
      <c r="P36" s="290"/>
      <c r="Q36" s="290"/>
    </row>
    <row r="37" spans="2:17" x14ac:dyDescent="0.2">
      <c r="J37" s="290"/>
      <c r="K37" s="290"/>
      <c r="L37" s="290"/>
      <c r="M37" s="290"/>
      <c r="N37" s="290"/>
      <c r="O37" s="290"/>
      <c r="P37" s="290"/>
      <c r="Q37" s="290"/>
    </row>
    <row r="38" spans="2:17" x14ac:dyDescent="0.2">
      <c r="J38" s="290"/>
      <c r="K38" s="290"/>
      <c r="L38" s="290"/>
      <c r="M38" s="290"/>
      <c r="N38" s="290"/>
      <c r="O38" s="290"/>
      <c r="P38" s="290"/>
      <c r="Q38" s="290"/>
    </row>
    <row r="39" spans="2:17" x14ac:dyDescent="0.2">
      <c r="J39" s="290"/>
      <c r="K39" s="290"/>
      <c r="L39" s="290"/>
      <c r="M39" s="290"/>
      <c r="N39" s="290"/>
      <c r="O39" s="290"/>
      <c r="P39" s="290"/>
      <c r="Q39" s="290"/>
    </row>
    <row r="40" spans="2:17" x14ac:dyDescent="0.2">
      <c r="J40" s="290"/>
      <c r="K40" s="290"/>
      <c r="L40" s="290"/>
      <c r="M40" s="290"/>
      <c r="N40" s="290"/>
      <c r="O40" s="290"/>
      <c r="P40" s="290"/>
      <c r="Q40" s="290"/>
    </row>
    <row r="41" spans="2:17" x14ac:dyDescent="0.2">
      <c r="J41" s="290"/>
      <c r="K41" s="290"/>
      <c r="L41" s="290"/>
      <c r="M41" s="290"/>
      <c r="N41" s="290"/>
      <c r="O41" s="290"/>
      <c r="P41" s="290"/>
      <c r="Q41" s="290"/>
    </row>
    <row r="42" spans="2:17" x14ac:dyDescent="0.2">
      <c r="J42" s="290"/>
      <c r="K42" s="290"/>
      <c r="L42" s="290"/>
      <c r="M42" s="290"/>
      <c r="N42" s="290"/>
      <c r="O42" s="290"/>
      <c r="P42" s="290"/>
      <c r="Q42" s="290"/>
    </row>
    <row r="43" spans="2:17" x14ac:dyDescent="0.2">
      <c r="J43" s="290"/>
      <c r="K43" s="290"/>
      <c r="L43" s="290"/>
      <c r="M43" s="290"/>
      <c r="N43" s="290"/>
      <c r="O43" s="290"/>
      <c r="P43" s="290"/>
      <c r="Q43" s="290"/>
    </row>
    <row r="44" spans="2:17" x14ac:dyDescent="0.2">
      <c r="J44" s="290"/>
      <c r="K44" s="290"/>
      <c r="L44" s="290"/>
      <c r="M44" s="290"/>
      <c r="N44" s="290"/>
      <c r="O44" s="290"/>
      <c r="P44" s="290"/>
      <c r="Q44" s="290"/>
    </row>
    <row r="45" spans="2:17" x14ac:dyDescent="0.2">
      <c r="J45" s="290"/>
      <c r="K45" s="290"/>
      <c r="L45" s="290"/>
      <c r="M45" s="290"/>
      <c r="N45" s="290"/>
      <c r="O45" s="290"/>
      <c r="P45" s="290"/>
      <c r="Q45" s="290"/>
    </row>
    <row r="46" spans="2:17" x14ac:dyDescent="0.2">
      <c r="J46" s="290"/>
      <c r="K46" s="290"/>
      <c r="L46" s="290"/>
      <c r="M46" s="290"/>
      <c r="N46" s="290"/>
      <c r="O46" s="290"/>
      <c r="P46" s="290"/>
      <c r="Q46" s="290"/>
    </row>
    <row r="47" spans="2:17" x14ac:dyDescent="0.2">
      <c r="J47" s="290"/>
      <c r="K47" s="290"/>
      <c r="L47" s="290"/>
      <c r="M47" s="290"/>
      <c r="N47" s="290"/>
      <c r="O47" s="290"/>
      <c r="P47" s="290"/>
      <c r="Q47" s="290"/>
    </row>
    <row r="48" spans="2:17" x14ac:dyDescent="0.2">
      <c r="B48" s="280"/>
      <c r="J48" s="290"/>
      <c r="K48" s="290"/>
      <c r="L48" s="290"/>
      <c r="M48" s="290"/>
      <c r="N48" s="290"/>
      <c r="O48" s="290"/>
      <c r="P48" s="290"/>
      <c r="Q48" s="290"/>
    </row>
    <row r="49" spans="2:17" x14ac:dyDescent="0.2">
      <c r="B49" s="280" t="s">
        <v>14</v>
      </c>
      <c r="C49" s="280"/>
      <c r="J49" s="290"/>
      <c r="K49" s="290"/>
      <c r="L49" s="290"/>
      <c r="M49" s="290"/>
      <c r="N49" s="290"/>
      <c r="O49" s="290"/>
      <c r="P49" s="290"/>
      <c r="Q49" s="290"/>
    </row>
    <row r="50" spans="2:17" x14ac:dyDescent="0.2">
      <c r="B50" s="280" t="s">
        <v>15</v>
      </c>
      <c r="J50" s="290"/>
      <c r="K50" s="290"/>
      <c r="L50" s="290"/>
      <c r="M50" s="290"/>
      <c r="N50" s="290"/>
      <c r="O50" s="290"/>
      <c r="P50" s="290"/>
      <c r="Q50" s="290"/>
    </row>
    <row r="51" spans="2:17" x14ac:dyDescent="0.2">
      <c r="B51" s="280"/>
      <c r="J51" s="290"/>
      <c r="K51" s="290"/>
      <c r="L51" s="290"/>
      <c r="M51" s="290"/>
      <c r="N51" s="290"/>
      <c r="O51" s="290"/>
      <c r="P51" s="290"/>
      <c r="Q51" s="290"/>
    </row>
    <row r="52" spans="2:17" x14ac:dyDescent="0.2">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workbookViewId="0">
      <selection activeCell="K9" sqref="K9"/>
    </sheetView>
  </sheetViews>
  <sheetFormatPr defaultRowHeight="12.75" x14ac:dyDescent="0.2"/>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4" width="11.85546875" style="262" customWidth="1"/>
    <col min="15" max="15" width="12.5703125" style="262" customWidth="1"/>
    <col min="16" max="16" width="11.7109375" style="262" customWidth="1"/>
    <col min="17" max="16384" width="9.140625" style="262"/>
  </cols>
  <sheetData>
    <row r="2" spans="2:17" ht="18.75" x14ac:dyDescent="0.3">
      <c r="B2" s="266" t="s">
        <v>72</v>
      </c>
      <c r="C2" s="266"/>
      <c r="D2" s="266"/>
      <c r="E2" s="266"/>
      <c r="F2" s="266"/>
      <c r="G2" s="266"/>
      <c r="J2" s="297"/>
      <c r="K2" s="297"/>
      <c r="L2" s="297"/>
      <c r="M2" s="297"/>
      <c r="N2" s="297"/>
      <c r="O2" s="297"/>
      <c r="P2" s="297"/>
      <c r="Q2" s="297"/>
    </row>
    <row r="3" spans="2:17" ht="13.5" thickBot="1" x14ac:dyDescent="0.25">
      <c r="J3" s="264"/>
      <c r="K3" s="264"/>
      <c r="L3" s="264"/>
      <c r="M3" s="264"/>
      <c r="N3" s="264"/>
      <c r="O3" s="264"/>
      <c r="P3" s="264"/>
      <c r="Q3" s="264"/>
    </row>
    <row r="4" spans="2:17" ht="24.95" customHeight="1" x14ac:dyDescent="0.3">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x14ac:dyDescent="0.25">
      <c r="B5" s="74" t="s">
        <v>2</v>
      </c>
      <c r="C5" s="168">
        <v>375.27</v>
      </c>
      <c r="D5" s="168">
        <v>317.65699999999998</v>
      </c>
      <c r="E5" s="168">
        <v>280.80799999999999</v>
      </c>
      <c r="F5" s="169">
        <v>322.226</v>
      </c>
      <c r="G5" s="169">
        <v>221.38399999999999</v>
      </c>
      <c r="H5" s="149">
        <v>337.73200000000003</v>
      </c>
      <c r="I5" s="149">
        <v>331.923</v>
      </c>
      <c r="J5" s="149">
        <v>202.83</v>
      </c>
      <c r="K5" s="782">
        <v>173.20699999999999</v>
      </c>
      <c r="L5" s="164"/>
      <c r="M5" s="164"/>
      <c r="N5" s="164"/>
      <c r="O5" s="164"/>
      <c r="P5" s="164"/>
      <c r="Q5" s="299"/>
    </row>
    <row r="6" spans="2:17" ht="21" customHeight="1" x14ac:dyDescent="0.25">
      <c r="B6" s="74" t="s">
        <v>3</v>
      </c>
      <c r="C6" s="168">
        <v>381.52699999999999</v>
      </c>
      <c r="D6" s="168">
        <v>344.92700000000002</v>
      </c>
      <c r="E6" s="168">
        <v>280.43400000000003</v>
      </c>
      <c r="F6" s="169">
        <v>317</v>
      </c>
      <c r="G6" s="169">
        <v>239.589</v>
      </c>
      <c r="H6" s="149">
        <v>355.04</v>
      </c>
      <c r="I6" s="149">
        <v>374.96</v>
      </c>
      <c r="J6" s="149">
        <v>228.70099999999999</v>
      </c>
      <c r="K6" s="782">
        <v>203.875</v>
      </c>
      <c r="L6" s="164"/>
      <c r="M6" s="164"/>
      <c r="N6" s="164"/>
      <c r="O6" s="164"/>
      <c r="P6" s="165"/>
      <c r="Q6" s="299"/>
    </row>
    <row r="7" spans="2:17" ht="21" customHeight="1" x14ac:dyDescent="0.25">
      <c r="B7" s="74" t="s">
        <v>4</v>
      </c>
      <c r="C7" s="168">
        <v>386.63600000000002</v>
      </c>
      <c r="D7" s="168">
        <v>344.61399999999998</v>
      </c>
      <c r="E7" s="168">
        <v>289.31</v>
      </c>
      <c r="F7" s="169">
        <v>379.85899999999998</v>
      </c>
      <c r="G7" s="169">
        <v>271.65100000000001</v>
      </c>
      <c r="H7" s="149">
        <v>340.339</v>
      </c>
      <c r="I7" s="149">
        <v>376.52</v>
      </c>
      <c r="J7" s="149">
        <v>296.77100000000002</v>
      </c>
      <c r="K7" s="782"/>
      <c r="L7" s="164"/>
      <c r="M7" s="164"/>
      <c r="N7" s="164"/>
      <c r="O7" s="164"/>
      <c r="P7" s="164"/>
      <c r="Q7" s="299"/>
    </row>
    <row r="8" spans="2:17" ht="21" customHeight="1" x14ac:dyDescent="0.25">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82"/>
      <c r="L8" s="164"/>
      <c r="M8" s="164"/>
      <c r="N8" s="164"/>
      <c r="O8" s="164"/>
      <c r="P8" s="164"/>
      <c r="Q8" s="299"/>
    </row>
    <row r="9" spans="2:17" ht="21" customHeight="1" x14ac:dyDescent="0.25">
      <c r="B9" s="74" t="s">
        <v>6</v>
      </c>
      <c r="C9" s="168">
        <v>375.27</v>
      </c>
      <c r="D9" s="168">
        <v>356.18799999999999</v>
      </c>
      <c r="E9" s="168">
        <v>306.46499999999997</v>
      </c>
      <c r="F9" s="169">
        <v>361.923</v>
      </c>
      <c r="G9" s="169">
        <v>338.77499999999998</v>
      </c>
      <c r="H9" s="149">
        <v>323.62400000000002</v>
      </c>
      <c r="I9" s="149">
        <v>304.23</v>
      </c>
      <c r="J9" s="149">
        <v>232.446</v>
      </c>
      <c r="K9" s="782"/>
      <c r="L9" s="164"/>
      <c r="M9" s="164"/>
      <c r="N9" s="164"/>
      <c r="O9" s="164"/>
      <c r="P9" s="164"/>
      <c r="Q9" s="300"/>
    </row>
    <row r="10" spans="2:17" ht="21" customHeight="1" x14ac:dyDescent="0.25">
      <c r="B10" s="74" t="s">
        <v>7</v>
      </c>
      <c r="C10" s="168">
        <v>325.3</v>
      </c>
      <c r="D10" s="168">
        <v>346.28199999999998</v>
      </c>
      <c r="E10" s="168">
        <v>258.197</v>
      </c>
      <c r="F10" s="169">
        <v>299.84800000000001</v>
      </c>
      <c r="G10" s="169">
        <v>366.09399999999999</v>
      </c>
      <c r="H10" s="149">
        <v>277.81799999999998</v>
      </c>
      <c r="I10" s="149">
        <v>245.02199999999999</v>
      </c>
      <c r="J10" s="149">
        <v>170.886</v>
      </c>
      <c r="K10" s="782"/>
      <c r="L10" s="164"/>
      <c r="M10" s="164"/>
      <c r="N10" s="164"/>
      <c r="O10" s="164"/>
      <c r="P10" s="164"/>
      <c r="Q10" s="300"/>
    </row>
    <row r="11" spans="2:17" ht="21" customHeight="1" x14ac:dyDescent="0.25">
      <c r="B11" s="74" t="s">
        <v>8</v>
      </c>
      <c r="C11" s="168">
        <v>265.39100000000002</v>
      </c>
      <c r="D11" s="168">
        <v>302.36500000000001</v>
      </c>
      <c r="E11" s="168">
        <v>257.262</v>
      </c>
      <c r="F11" s="169">
        <v>237.15</v>
      </c>
      <c r="G11" s="169">
        <v>352.53899999999999</v>
      </c>
      <c r="H11" s="149">
        <v>249.32</v>
      </c>
      <c r="I11" s="149">
        <v>196.333</v>
      </c>
      <c r="J11" s="149">
        <v>143.542</v>
      </c>
      <c r="K11" s="782"/>
      <c r="L11" s="164"/>
      <c r="M11" s="164"/>
      <c r="N11" s="164"/>
      <c r="O11" s="164"/>
      <c r="P11" s="164"/>
      <c r="Q11" s="300"/>
    </row>
    <row r="12" spans="2:17" ht="21" customHeight="1" x14ac:dyDescent="0.25">
      <c r="B12" s="74" t="s">
        <v>9</v>
      </c>
      <c r="C12" s="168">
        <v>261.27999999999997</v>
      </c>
      <c r="D12" s="168">
        <v>298.26299999999998</v>
      </c>
      <c r="E12" s="168">
        <v>258.851</v>
      </c>
      <c r="F12" s="169">
        <v>223.47399999999999</v>
      </c>
      <c r="G12" s="169">
        <v>361.61099999999999</v>
      </c>
      <c r="H12" s="149">
        <v>241.679</v>
      </c>
      <c r="I12" s="149">
        <v>193.93299999999999</v>
      </c>
      <c r="J12" s="149">
        <v>117.069</v>
      </c>
      <c r="K12" s="782"/>
      <c r="L12" s="164"/>
      <c r="M12" s="164"/>
      <c r="N12" s="164"/>
      <c r="O12" s="164"/>
      <c r="P12" s="164"/>
      <c r="Q12" s="300"/>
    </row>
    <row r="13" spans="2:17" ht="21" customHeight="1" x14ac:dyDescent="0.25">
      <c r="B13" s="74" t="s">
        <v>10</v>
      </c>
      <c r="C13" s="168">
        <v>261.84100000000001</v>
      </c>
      <c r="D13" s="168">
        <v>296.399</v>
      </c>
      <c r="E13" s="168">
        <v>258.75700000000001</v>
      </c>
      <c r="F13" s="169">
        <v>222.864</v>
      </c>
      <c r="G13" s="169">
        <v>359.94200000000001</v>
      </c>
      <c r="H13" s="149">
        <v>242.637</v>
      </c>
      <c r="I13" s="149">
        <v>194.65299999999999</v>
      </c>
      <c r="J13" s="149">
        <v>116.47499999999999</v>
      </c>
      <c r="K13" s="782"/>
      <c r="L13" s="164"/>
      <c r="M13" s="164"/>
      <c r="N13" s="164"/>
      <c r="O13" s="164"/>
      <c r="P13" s="164"/>
      <c r="Q13" s="300"/>
    </row>
    <row r="14" spans="2:17" ht="21" customHeight="1" x14ac:dyDescent="0.25">
      <c r="B14" s="74" t="s">
        <v>11</v>
      </c>
      <c r="C14" s="168">
        <v>238.28200000000001</v>
      </c>
      <c r="D14" s="168">
        <v>273.68</v>
      </c>
      <c r="E14" s="168">
        <v>240.63399999999999</v>
      </c>
      <c r="F14" s="169">
        <v>214.154</v>
      </c>
      <c r="G14" s="169">
        <v>376.83499999999998</v>
      </c>
      <c r="H14" s="149">
        <v>268.42</v>
      </c>
      <c r="I14" s="149">
        <v>161.364</v>
      </c>
      <c r="J14" s="149">
        <v>116</v>
      </c>
      <c r="K14" s="782"/>
      <c r="L14" s="164"/>
      <c r="M14" s="164"/>
      <c r="N14" s="164"/>
      <c r="O14" s="164"/>
      <c r="P14" s="164"/>
      <c r="Q14" s="299"/>
    </row>
    <row r="15" spans="2:17" ht="21" customHeight="1" x14ac:dyDescent="0.25">
      <c r="B15" s="74" t="s">
        <v>12</v>
      </c>
      <c r="C15" s="168">
        <v>219.642</v>
      </c>
      <c r="D15" s="168">
        <v>245.39599999999999</v>
      </c>
      <c r="E15" s="168">
        <v>261.09300000000002</v>
      </c>
      <c r="F15" s="169">
        <v>175.608</v>
      </c>
      <c r="G15" s="169">
        <v>382.36099999999999</v>
      </c>
      <c r="H15" s="149">
        <v>283.98399999999998</v>
      </c>
      <c r="I15" s="149">
        <v>142.86600000000001</v>
      </c>
      <c r="J15" s="149">
        <v>118.611</v>
      </c>
      <c r="K15" s="782"/>
      <c r="L15" s="164"/>
      <c r="M15" s="164"/>
      <c r="N15" s="164"/>
      <c r="O15" s="164"/>
      <c r="P15" s="164"/>
      <c r="Q15" s="300"/>
    </row>
    <row r="16" spans="2:17" ht="21" customHeight="1" thickBot="1" x14ac:dyDescent="0.3">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83"/>
      <c r="L16" s="152"/>
      <c r="M16" s="152"/>
      <c r="N16" s="152"/>
      <c r="O16" s="152"/>
      <c r="P16" s="152"/>
      <c r="Q16" s="301"/>
    </row>
    <row r="17" spans="10:17" x14ac:dyDescent="0.2">
      <c r="J17" s="264"/>
      <c r="K17" s="264"/>
      <c r="L17" s="264"/>
      <c r="M17" s="264"/>
      <c r="N17" s="264"/>
      <c r="O17" s="264"/>
      <c r="P17" s="264"/>
      <c r="Q17" s="264"/>
    </row>
    <row r="18" spans="10:17" x14ac:dyDescent="0.2">
      <c r="J18" s="264"/>
      <c r="K18" s="264"/>
      <c r="L18" s="264"/>
      <c r="M18" s="264"/>
      <c r="N18" s="264"/>
      <c r="O18" s="264"/>
      <c r="P18" s="264"/>
      <c r="Q18" s="264"/>
    </row>
    <row r="19" spans="10:17" x14ac:dyDescent="0.2">
      <c r="J19" s="264"/>
      <c r="K19" s="264"/>
      <c r="L19" s="264"/>
      <c r="M19" s="264"/>
      <c r="N19" s="264"/>
      <c r="O19" s="264"/>
      <c r="P19" s="264"/>
      <c r="Q19" s="264"/>
    </row>
    <row r="20" spans="10:17" x14ac:dyDescent="0.2">
      <c r="J20" s="264"/>
      <c r="K20" s="264"/>
      <c r="L20" s="264"/>
      <c r="M20" s="264"/>
      <c r="N20" s="264"/>
      <c r="O20" s="264"/>
      <c r="P20" s="264"/>
      <c r="Q20" s="264"/>
    </row>
    <row r="21" spans="10:17" x14ac:dyDescent="0.2">
      <c r="J21" s="264"/>
      <c r="K21" s="264"/>
      <c r="L21" s="264"/>
      <c r="M21" s="264"/>
      <c r="N21" s="264"/>
      <c r="O21" s="264"/>
      <c r="P21" s="264"/>
      <c r="Q21" s="264"/>
    </row>
    <row r="22" spans="10:17" x14ac:dyDescent="0.2">
      <c r="J22" s="264"/>
      <c r="K22" s="264"/>
      <c r="L22" s="264"/>
      <c r="M22" s="264"/>
      <c r="N22" s="264"/>
      <c r="O22" s="264"/>
      <c r="P22" s="264"/>
      <c r="Q22" s="264"/>
    </row>
    <row r="23" spans="10:17" x14ac:dyDescent="0.2">
      <c r="J23" s="264"/>
      <c r="K23" s="264"/>
      <c r="L23" s="264"/>
      <c r="M23" s="264"/>
      <c r="N23" s="264"/>
      <c r="O23" s="264"/>
      <c r="P23" s="264"/>
      <c r="Q23" s="264"/>
    </row>
    <row r="24" spans="10:17" x14ac:dyDescent="0.2">
      <c r="J24" s="264"/>
      <c r="K24" s="264"/>
      <c r="L24" s="264"/>
      <c r="M24" s="264"/>
      <c r="N24" s="264"/>
      <c r="O24" s="264"/>
      <c r="P24" s="264"/>
      <c r="Q24" s="264"/>
    </row>
    <row r="25" spans="10:17" x14ac:dyDescent="0.2">
      <c r="J25" s="264"/>
      <c r="K25" s="264"/>
      <c r="L25" s="264"/>
      <c r="M25" s="264"/>
      <c r="N25" s="264"/>
      <c r="O25" s="264"/>
      <c r="P25" s="264"/>
      <c r="Q25" s="264"/>
    </row>
    <row r="26" spans="10:17" x14ac:dyDescent="0.2">
      <c r="J26" s="264"/>
      <c r="K26" s="264"/>
      <c r="L26" s="264"/>
      <c r="M26" s="264"/>
      <c r="N26" s="264"/>
      <c r="O26" s="264"/>
      <c r="P26" s="264"/>
      <c r="Q26" s="264"/>
    </row>
    <row r="27" spans="10:17" x14ac:dyDescent="0.2">
      <c r="J27" s="264"/>
      <c r="K27" s="264"/>
      <c r="L27" s="264"/>
      <c r="M27" s="264"/>
      <c r="N27" s="264"/>
      <c r="O27" s="264"/>
      <c r="P27" s="264"/>
      <c r="Q27" s="264"/>
    </row>
    <row r="28" spans="10:17" x14ac:dyDescent="0.2">
      <c r="J28" s="264"/>
      <c r="K28" s="264"/>
      <c r="L28" s="264"/>
      <c r="M28" s="264"/>
      <c r="N28" s="264"/>
      <c r="O28" s="264"/>
      <c r="P28" s="264"/>
      <c r="Q28" s="264"/>
    </row>
    <row r="29" spans="10:17" x14ac:dyDescent="0.2">
      <c r="J29" s="264"/>
      <c r="K29" s="264"/>
      <c r="L29" s="264"/>
      <c r="M29" s="264"/>
      <c r="N29" s="264"/>
      <c r="O29" s="264"/>
      <c r="P29" s="264"/>
      <c r="Q29" s="264"/>
    </row>
    <row r="30" spans="10:17" x14ac:dyDescent="0.2">
      <c r="J30" s="264"/>
      <c r="K30" s="264"/>
      <c r="L30" s="264"/>
      <c r="M30" s="264"/>
      <c r="N30" s="264"/>
      <c r="O30" s="264"/>
      <c r="P30" s="264"/>
      <c r="Q30" s="264"/>
    </row>
    <row r="31" spans="10:17" x14ac:dyDescent="0.2">
      <c r="J31" s="264"/>
      <c r="K31" s="264"/>
      <c r="L31" s="264"/>
      <c r="M31" s="264"/>
      <c r="N31" s="264"/>
      <c r="O31" s="264"/>
      <c r="P31" s="264"/>
      <c r="Q31" s="264"/>
    </row>
    <row r="32" spans="10:17" x14ac:dyDescent="0.2">
      <c r="J32" s="264"/>
      <c r="K32" s="264"/>
      <c r="L32" s="264"/>
      <c r="M32" s="264"/>
      <c r="N32" s="264"/>
      <c r="O32" s="264"/>
      <c r="P32" s="264"/>
      <c r="Q32" s="264"/>
    </row>
    <row r="33" spans="2:17" x14ac:dyDescent="0.2">
      <c r="J33" s="264"/>
      <c r="K33" s="264"/>
      <c r="L33" s="264"/>
      <c r="M33" s="264"/>
      <c r="N33" s="264"/>
      <c r="O33" s="264"/>
      <c r="P33" s="264"/>
      <c r="Q33" s="264"/>
    </row>
    <row r="34" spans="2:17" x14ac:dyDescent="0.2">
      <c r="J34" s="264"/>
      <c r="K34" s="264"/>
      <c r="L34" s="264"/>
      <c r="M34" s="264"/>
      <c r="N34" s="264"/>
      <c r="O34" s="264"/>
      <c r="P34" s="264"/>
      <c r="Q34" s="264"/>
    </row>
    <row r="35" spans="2:17" x14ac:dyDescent="0.2">
      <c r="J35" s="264"/>
      <c r="K35" s="264"/>
      <c r="L35" s="264"/>
      <c r="M35" s="264"/>
      <c r="N35" s="264"/>
      <c r="O35" s="264"/>
      <c r="P35" s="264"/>
      <c r="Q35" s="264"/>
    </row>
    <row r="36" spans="2:17" x14ac:dyDescent="0.2">
      <c r="J36" s="264"/>
      <c r="K36" s="264"/>
      <c r="L36" s="264"/>
      <c r="M36" s="264"/>
      <c r="N36" s="264"/>
      <c r="O36" s="264"/>
      <c r="P36" s="264"/>
      <c r="Q36" s="264"/>
    </row>
    <row r="37" spans="2:17" x14ac:dyDescent="0.2">
      <c r="J37" s="264"/>
      <c r="K37" s="264"/>
      <c r="L37" s="264"/>
      <c r="M37" s="264"/>
      <c r="N37" s="264"/>
      <c r="O37" s="264"/>
      <c r="P37" s="264"/>
      <c r="Q37" s="264"/>
    </row>
    <row r="38" spans="2:17" x14ac:dyDescent="0.2">
      <c r="J38" s="264"/>
      <c r="K38" s="264"/>
      <c r="L38" s="264"/>
      <c r="M38" s="264"/>
      <c r="N38" s="264"/>
      <c r="O38" s="264"/>
      <c r="P38" s="264"/>
      <c r="Q38" s="264"/>
    </row>
    <row r="39" spans="2:17" x14ac:dyDescent="0.2">
      <c r="J39" s="264"/>
      <c r="K39" s="264"/>
      <c r="L39" s="264"/>
      <c r="M39" s="264"/>
      <c r="N39" s="264"/>
      <c r="O39" s="264"/>
      <c r="P39" s="264"/>
      <c r="Q39" s="264"/>
    </row>
    <row r="40" spans="2:17" x14ac:dyDescent="0.2">
      <c r="J40" s="264"/>
      <c r="K40" s="264"/>
      <c r="L40" s="264"/>
      <c r="M40" s="264"/>
      <c r="N40" s="264"/>
      <c r="O40" s="264"/>
      <c r="P40" s="264"/>
      <c r="Q40" s="264"/>
    </row>
    <row r="41" spans="2:17" x14ac:dyDescent="0.2">
      <c r="J41" s="264"/>
      <c r="K41" s="264"/>
      <c r="L41" s="264"/>
      <c r="M41" s="264"/>
      <c r="N41" s="264"/>
      <c r="O41" s="264"/>
      <c r="P41" s="264"/>
      <c r="Q41" s="264"/>
    </row>
    <row r="42" spans="2:17" x14ac:dyDescent="0.2">
      <c r="J42" s="264"/>
      <c r="K42" s="264"/>
      <c r="L42" s="264"/>
      <c r="M42" s="264"/>
      <c r="N42" s="264"/>
      <c r="O42" s="264"/>
      <c r="P42" s="264"/>
      <c r="Q42" s="264"/>
    </row>
    <row r="43" spans="2:17" x14ac:dyDescent="0.2">
      <c r="J43" s="264"/>
      <c r="K43" s="264"/>
      <c r="L43" s="264"/>
      <c r="M43" s="264"/>
      <c r="N43" s="264"/>
      <c r="O43" s="264"/>
      <c r="P43" s="264"/>
      <c r="Q43" s="264"/>
    </row>
    <row r="44" spans="2:17" x14ac:dyDescent="0.2">
      <c r="J44" s="264"/>
      <c r="K44" s="264"/>
      <c r="L44" s="264"/>
      <c r="M44" s="264"/>
      <c r="N44" s="264"/>
      <c r="O44" s="264"/>
      <c r="P44" s="264"/>
      <c r="Q44" s="264"/>
    </row>
    <row r="45" spans="2:17" x14ac:dyDescent="0.2">
      <c r="J45" s="264"/>
      <c r="K45" s="264"/>
      <c r="L45" s="264"/>
      <c r="M45" s="264"/>
      <c r="N45" s="264"/>
      <c r="O45" s="264"/>
      <c r="P45" s="264"/>
      <c r="Q45" s="264"/>
    </row>
    <row r="46" spans="2:17" x14ac:dyDescent="0.2">
      <c r="J46" s="264"/>
      <c r="K46" s="264"/>
      <c r="L46" s="264"/>
      <c r="M46" s="264"/>
      <c r="N46" s="264"/>
      <c r="O46" s="264"/>
      <c r="P46" s="264"/>
      <c r="Q46" s="264"/>
    </row>
    <row r="47" spans="2:17" x14ac:dyDescent="0.2">
      <c r="B47" s="267"/>
      <c r="J47" s="264"/>
      <c r="K47" s="264"/>
      <c r="L47" s="264"/>
      <c r="M47" s="264"/>
      <c r="N47" s="264"/>
      <c r="O47" s="264"/>
      <c r="P47" s="264"/>
      <c r="Q47" s="264"/>
    </row>
    <row r="48" spans="2:17" x14ac:dyDescent="0.2">
      <c r="B48" s="267" t="s">
        <v>14</v>
      </c>
      <c r="C48" s="267"/>
      <c r="J48" s="264"/>
      <c r="K48" s="264"/>
      <c r="L48" s="264"/>
      <c r="M48" s="264"/>
      <c r="N48" s="264"/>
      <c r="O48" s="264"/>
      <c r="P48" s="264"/>
      <c r="Q48" s="264"/>
    </row>
    <row r="49" spans="2:17" x14ac:dyDescent="0.2">
      <c r="B49" s="267" t="s">
        <v>15</v>
      </c>
      <c r="J49" s="264"/>
      <c r="K49" s="264"/>
      <c r="L49" s="264"/>
      <c r="M49" s="264"/>
      <c r="N49" s="264"/>
      <c r="O49" s="264"/>
      <c r="P49" s="264"/>
      <c r="Q49" s="264"/>
    </row>
    <row r="50" spans="2:17" x14ac:dyDescent="0.2">
      <c r="B50" s="267"/>
      <c r="J50" s="264"/>
      <c r="K50" s="264"/>
      <c r="L50" s="264"/>
      <c r="M50" s="264"/>
      <c r="N50" s="264"/>
      <c r="O50" s="264"/>
      <c r="P50" s="264"/>
      <c r="Q50" s="264"/>
    </row>
    <row r="51" spans="2:17" x14ac:dyDescent="0.2">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2020-05-06T01:45:36Z</cp:lastPrinted>
  <dcterms:created xsi:type="dcterms:W3CDTF">2001-01-08T14:44:55Z</dcterms:created>
  <dcterms:modified xsi:type="dcterms:W3CDTF">2020-05-20T08:29:58Z</dcterms:modified>
</cp:coreProperties>
</file>