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736AC3AE-9A92-4849-B4F0-D01E6DE531C8}" xr6:coauthVersionLast="45" xr6:coauthVersionMax="45" xr10:uidLastSave="{00000000-0000-0000-0000-000000000000}"/>
  <bookViews>
    <workbookView xWindow="-120" yWindow="-120" windowWidth="20730" windowHeight="11310" xr2:uid="{FDF40E07-36C2-44BF-8C69-C0B6AC6E256D}"/>
  </bookViews>
  <sheets>
    <sheet name="Cengkeh" sheetId="1" r:id="rId1"/>
  </sheets>
  <externalReferences>
    <externalReference r:id="rId2"/>
  </externalReferences>
  <definedNames>
    <definedName name="_xlnm._FilterDatabase" localSheetId="0" hidden="1">Cengkeh!$O$10:$P$60</definedName>
    <definedName name="komoditi">#REF!</definedName>
    <definedName name="Z_3F279D1F_CFB3_4226_902F_136088D6AABE_.wvu.Cols" localSheetId="0">Cengkeh!$X:$X</definedName>
    <definedName name="Z_BB0C7139_A5D5_4A54_9E2C_18390F57221E_.wvu.FilterData" localSheetId="0" hidden="1">Cengkeh!$O$10:$P$42</definedName>
    <definedName name="Z_C549CA57_D6A8_473A_95EE_534EA55B482B_.wvu.FilterData" localSheetId="0" hidden="1">Cengkeh!$O$10:$P$58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8" i="1" l="1"/>
  <c r="F57" i="1"/>
  <c r="F56" i="1"/>
  <c r="F55" i="1"/>
  <c r="F54" i="1"/>
  <c r="F53" i="1"/>
  <c r="F52" i="1"/>
  <c r="F51" i="1"/>
  <c r="F50" i="1"/>
  <c r="I43" i="1"/>
  <c r="G43" i="1"/>
  <c r="E43" i="1"/>
  <c r="D43" i="1"/>
  <c r="H43" i="1" s="1"/>
  <c r="C43" i="1"/>
  <c r="F43" i="1" s="1"/>
  <c r="J43" i="1" s="1"/>
  <c r="X42" i="1"/>
  <c r="J42" i="1"/>
  <c r="H42" i="1"/>
  <c r="F42" i="1"/>
  <c r="X41" i="1"/>
  <c r="H41" i="1"/>
  <c r="F41" i="1"/>
  <c r="J41" i="1" s="1"/>
  <c r="X40" i="1"/>
  <c r="J40" i="1"/>
  <c r="H40" i="1"/>
  <c r="F40" i="1"/>
  <c r="X39" i="1"/>
  <c r="H39" i="1"/>
  <c r="F39" i="1"/>
  <c r="J39" i="1" s="1"/>
  <c r="X38" i="1"/>
  <c r="N38" i="1"/>
  <c r="M38" i="1"/>
  <c r="H38" i="1"/>
  <c r="F38" i="1"/>
  <c r="J38" i="1" s="1"/>
  <c r="X37" i="1"/>
  <c r="P37" i="1"/>
  <c r="O37" i="1"/>
  <c r="N37" i="1"/>
  <c r="M37" i="1"/>
  <c r="H37" i="1"/>
  <c r="F37" i="1"/>
  <c r="J37" i="1" s="1"/>
  <c r="X36" i="1"/>
  <c r="P36" i="1"/>
  <c r="O36" i="1"/>
  <c r="N36" i="1"/>
  <c r="M36" i="1"/>
  <c r="H36" i="1"/>
  <c r="F36" i="1"/>
  <c r="J36" i="1" s="1"/>
  <c r="X35" i="1"/>
  <c r="P35" i="1"/>
  <c r="O35" i="1"/>
  <c r="N35" i="1"/>
  <c r="M35" i="1"/>
  <c r="H35" i="1"/>
  <c r="F35" i="1"/>
  <c r="J35" i="1" s="1"/>
  <c r="X34" i="1"/>
  <c r="P34" i="1"/>
  <c r="O34" i="1"/>
  <c r="N34" i="1"/>
  <c r="M34" i="1"/>
  <c r="H34" i="1"/>
  <c r="F34" i="1"/>
  <c r="J34" i="1" s="1"/>
  <c r="X33" i="1"/>
  <c r="P33" i="1"/>
  <c r="O33" i="1"/>
  <c r="N33" i="1"/>
  <c r="M33" i="1"/>
  <c r="H33" i="1"/>
  <c r="F33" i="1"/>
  <c r="J33" i="1" s="1"/>
  <c r="X32" i="1"/>
  <c r="P32" i="1"/>
  <c r="O32" i="1"/>
  <c r="N32" i="1"/>
  <c r="M32" i="1"/>
  <c r="H32" i="1"/>
  <c r="F32" i="1"/>
  <c r="J32" i="1" s="1"/>
  <c r="X31" i="1"/>
  <c r="P31" i="1"/>
  <c r="O31" i="1"/>
  <c r="N31" i="1"/>
  <c r="M31" i="1"/>
  <c r="J31" i="1"/>
  <c r="H31" i="1"/>
  <c r="F31" i="1"/>
  <c r="X30" i="1"/>
  <c r="P30" i="1"/>
  <c r="O30" i="1"/>
  <c r="N30" i="1"/>
  <c r="M30" i="1"/>
  <c r="H30" i="1"/>
  <c r="F30" i="1"/>
  <c r="J30" i="1" s="1"/>
  <c r="X29" i="1"/>
  <c r="P29" i="1"/>
  <c r="O29" i="1"/>
  <c r="N29" i="1"/>
  <c r="M29" i="1"/>
  <c r="H29" i="1"/>
  <c r="F29" i="1"/>
  <c r="J29" i="1" s="1"/>
  <c r="X28" i="1"/>
  <c r="P28" i="1"/>
  <c r="O28" i="1"/>
  <c r="N28" i="1"/>
  <c r="M28" i="1"/>
  <c r="H28" i="1"/>
  <c r="F28" i="1"/>
  <c r="J28" i="1" s="1"/>
  <c r="X27" i="1"/>
  <c r="P27" i="1"/>
  <c r="O27" i="1"/>
  <c r="N27" i="1"/>
  <c r="M27" i="1"/>
  <c r="H27" i="1"/>
  <c r="F27" i="1"/>
  <c r="J27" i="1" s="1"/>
  <c r="X26" i="1"/>
  <c r="P26" i="1"/>
  <c r="O26" i="1"/>
  <c r="N26" i="1"/>
  <c r="M26" i="1"/>
  <c r="J26" i="1"/>
  <c r="H26" i="1"/>
  <c r="F26" i="1"/>
  <c r="X25" i="1"/>
  <c r="P25" i="1"/>
  <c r="O25" i="1"/>
  <c r="N25" i="1"/>
  <c r="M25" i="1"/>
  <c r="J25" i="1"/>
  <c r="H25" i="1"/>
  <c r="F25" i="1"/>
  <c r="X24" i="1"/>
  <c r="P24" i="1"/>
  <c r="O24" i="1"/>
  <c r="N24" i="1"/>
  <c r="M24" i="1"/>
  <c r="H24" i="1"/>
  <c r="F24" i="1"/>
  <c r="J24" i="1" s="1"/>
  <c r="X23" i="1"/>
  <c r="P23" i="1"/>
  <c r="O23" i="1"/>
  <c r="N23" i="1"/>
  <c r="M23" i="1"/>
  <c r="H23" i="1"/>
  <c r="F23" i="1"/>
  <c r="J23" i="1" s="1"/>
  <c r="X22" i="1"/>
  <c r="P22" i="1"/>
  <c r="O22" i="1"/>
  <c r="N22" i="1"/>
  <c r="M22" i="1"/>
  <c r="H22" i="1"/>
  <c r="F22" i="1"/>
  <c r="J22" i="1" s="1"/>
  <c r="X21" i="1"/>
  <c r="P21" i="1"/>
  <c r="O21" i="1"/>
  <c r="N21" i="1"/>
  <c r="M21" i="1"/>
  <c r="H21" i="1"/>
  <c r="F21" i="1"/>
  <c r="J21" i="1" s="1"/>
  <c r="X20" i="1"/>
  <c r="P20" i="1"/>
  <c r="O20" i="1"/>
  <c r="N20" i="1"/>
  <c r="M20" i="1"/>
  <c r="H20" i="1"/>
  <c r="F20" i="1"/>
  <c r="J20" i="1" s="1"/>
  <c r="X19" i="1"/>
  <c r="P19" i="1"/>
  <c r="O19" i="1"/>
  <c r="N19" i="1"/>
  <c r="M19" i="1"/>
  <c r="H19" i="1"/>
  <c r="F19" i="1"/>
  <c r="J19" i="1" s="1"/>
  <c r="X18" i="1"/>
  <c r="P18" i="1"/>
  <c r="O18" i="1"/>
  <c r="N18" i="1"/>
  <c r="M18" i="1"/>
  <c r="H18" i="1"/>
  <c r="F18" i="1"/>
  <c r="J18" i="1" s="1"/>
  <c r="X17" i="1"/>
  <c r="P17" i="1"/>
  <c r="O17" i="1"/>
  <c r="N17" i="1"/>
  <c r="M17" i="1"/>
  <c r="H17" i="1"/>
  <c r="F17" i="1"/>
  <c r="J17" i="1" s="1"/>
  <c r="X16" i="1"/>
  <c r="P16" i="1"/>
  <c r="O16" i="1"/>
  <c r="N16" i="1"/>
  <c r="M16" i="1"/>
  <c r="H16" i="1"/>
  <c r="F16" i="1"/>
  <c r="J16" i="1" s="1"/>
  <c r="X15" i="1"/>
  <c r="P15" i="1"/>
  <c r="O15" i="1"/>
  <c r="N15" i="1"/>
  <c r="M15" i="1"/>
  <c r="H15" i="1"/>
  <c r="F15" i="1"/>
  <c r="J15" i="1" s="1"/>
  <c r="X14" i="1"/>
  <c r="P14" i="1"/>
  <c r="O14" i="1"/>
  <c r="N14" i="1"/>
  <c r="M14" i="1"/>
  <c r="H14" i="1"/>
  <c r="F14" i="1"/>
  <c r="J14" i="1" s="1"/>
  <c r="X13" i="1"/>
  <c r="P13" i="1"/>
  <c r="O13" i="1"/>
  <c r="N13" i="1"/>
  <c r="M13" i="1"/>
  <c r="H13" i="1"/>
  <c r="F13" i="1"/>
  <c r="J13" i="1" s="1"/>
  <c r="X12" i="1"/>
  <c r="P12" i="1"/>
  <c r="O12" i="1"/>
  <c r="N12" i="1"/>
  <c r="M12" i="1"/>
  <c r="H12" i="1"/>
  <c r="F12" i="1"/>
  <c r="J12" i="1" s="1"/>
  <c r="X11" i="1"/>
  <c r="P11" i="1"/>
  <c r="O11" i="1"/>
  <c r="N11" i="1"/>
  <c r="M11" i="1"/>
  <c r="H11" i="1"/>
  <c r="F11" i="1"/>
  <c r="K11" i="1" s="1"/>
  <c r="X10" i="1"/>
  <c r="A3" i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B64" i="1" l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J11" i="1"/>
</calcChain>
</file>

<file path=xl/sharedStrings.xml><?xml version="1.0" encoding="utf-8"?>
<sst xmlns="http://schemas.openxmlformats.org/spreadsheetml/2006/main" count="84" uniqueCount="80">
  <si>
    <t>TABEL 25</t>
  </si>
  <si>
    <t>kang asep</t>
  </si>
  <si>
    <t>Cengkeh</t>
  </si>
  <si>
    <t>REKAPITULASI LUAS AREAL, PRODUKSI DAN PRODUKTIVITAS PERKEBUNAN RAKYAT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</si>
  <si>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CENGKEH</t>
    </r>
  </si>
  <si>
    <t>No</t>
  </si>
  <si>
    <t>Kabupaten/Kota</t>
  </si>
  <si>
    <t>Areal (Ha)</t>
  </si>
  <si>
    <t xml:space="preserve">Produksi </t>
  </si>
  <si>
    <t>Jumlah Petani Pekebun (KK)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</si>
  <si>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</si>
  <si>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</si>
  <si>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</si>
  <si>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</si>
  <si>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</si>
  <si>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</si>
  <si>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</si>
  <si>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</si>
  <si>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</si>
  <si>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</si>
  <si>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</si>
  <si>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</si>
  <si>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</si>
  <si>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</si>
  <si>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</si>
  <si>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</si>
  <si>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</si>
  <si>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</si>
  <si>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</si>
  <si>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</si>
  <si>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KOREKSI LUAS</t>
  </si>
  <si>
    <t>answered pasted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</si>
  <si>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</si>
  <si>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</si>
  <si>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</si>
  <si>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</si>
  <si>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</si>
  <si>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</si>
  <si>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</si>
  <si>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</si>
  <si>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</si>
  <si>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</si>
  <si>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</si>
  <si>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</si>
  <si>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</si>
  <si>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</si>
  <si>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</si>
  <si>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MINUS luas 300 KOREKSI</t>
  </si>
  <si>
    <t>self answerd pasted</t>
  </si>
  <si>
    <t>Kab. Kendal</t>
  </si>
  <si>
    <t>Kab. Batang</t>
  </si>
  <si>
    <t>100 ha koreksi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</si>
  <si>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</si>
  <si>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</si>
  <si>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</si>
  <si>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</si>
  <si>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</si>
  <si>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</si>
  <si>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</si>
  <si>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</si>
  <si>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</si>
  <si>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</si>
  <si>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</si>
  <si>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</si>
  <si>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</si>
  <si>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</si>
  <si>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</si>
  <si>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</si>
  <si>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</si>
  <si>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</si>
  <si>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</si>
  <si>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</si>
  <si>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</si>
  <si>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</si>
  <si>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</si>
  <si>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: Bunga Kering</t>
  </si>
  <si>
    <t>https://datawrapper.dwcdn.net/xq3wS/1/</t>
  </si>
  <si>
    <t>https://datawrapper.dwcdn.net/BXZtZ/1/</t>
  </si>
  <si>
    <t>Tahun</t>
  </si>
  <si>
    <t>Produksi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</si>
</sst>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.00_);_(* \(#,##0.00\);_(* \-??.00_);_(@_)"/>
  </numFmts>
  <fonts count="16"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1"/>
      <color theme="0"/>
      <name val="Tahoma"/>
    </font>
    <font>
      <sz val="11"/>
      <color theme="1"/>
      <name val="Tahoma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Arial"/>
    </font>
    <font>
      <sz val="11"/>
      <color rgb="FFFF0000"/>
      <name val="Tahoma"/>
    </font>
    <font>
      <sz val="11"/>
      <color rgb="FFFFFFFF"/>
      <name val="Tahoma"/>
    </font>
    <font>
      <i/>
      <sz val="11"/>
      <color rgb="FF000000"/>
      <name val="Tahoma"/>
    </font>
    <font>
      <u/>
      <sz val="11"/>
      <color rgb="FF000000"/>
      <name val="Tahoma"/>
    </font>
    <font>
      <u/>
      <sz val="11"/>
      <color theme="1"/>
      <name val="Tahoma"/>
    </font>
    <font>
      <sz val="10"/>
      <color theme="1"/>
      <name val="Arial"/>
    </font>
    <font>
      <sz val="10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0" xfId="0" applyFont="1" applyFill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64" fontId="1" fillId="0" borderId="2" xfId="0" applyNumberFormat="1" applyFont="1" applyBorder="1" applyAlignment="1">
      <alignment horizontal="center" vertical="center" shrinkToFit="1"/>
    </xf>
    <xf numFmtId="0" fontId="7" fillId="2" borderId="0" xfId="0" applyFont="1" applyFill="1" applyAlignment="1">
      <alignment horizontal="center" vertical="center" wrapText="1"/>
    </xf>
    <xf numFmtId="0" fontId="2" fillId="0" borderId="9" xfId="0" applyFont="1" applyBorder="1"/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165" fontId="1" fillId="3" borderId="12" xfId="0" applyNumberFormat="1" applyFont="1" applyFill="1" applyBorder="1" applyAlignment="1">
      <alignment horizontal="center" vertical="center"/>
    </xf>
    <xf numFmtId="165" fontId="8" fillId="3" borderId="12" xfId="0" applyNumberFormat="1" applyFont="1" applyFill="1" applyBorder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165" fontId="1" fillId="0" borderId="15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5" fontId="1" fillId="3" borderId="15" xfId="0" applyNumberFormat="1" applyFont="1" applyFill="1" applyBorder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65" fontId="1" fillId="0" borderId="15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0" fontId="9" fillId="0" borderId="0" xfId="0" applyFont="1" applyAlignment="1">
      <alignment horizontal="right" vertical="center"/>
    </xf>
    <xf numFmtId="43" fontId="9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165" fontId="4" fillId="0" borderId="0" xfId="0" applyNumberFormat="1" applyFont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0" fontId="1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165" fontId="9" fillId="0" borderId="0" xfId="0" applyNumberFormat="1" applyFont="1" applyAlignment="1">
      <alignment horizontal="left" vertical="center"/>
    </xf>
    <xf numFmtId="166" fontId="9" fillId="0" borderId="0" xfId="0" applyNumberFormat="1" applyFont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165" fontId="1" fillId="0" borderId="20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166" fontId="1" fillId="0" borderId="20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3" borderId="22" xfId="0" applyFont="1" applyFill="1" applyBorder="1" applyAlignment="1">
      <alignment horizontal="center" vertical="center"/>
    </xf>
    <xf numFmtId="0" fontId="2" fillId="0" borderId="11" xfId="0" applyFont="1" applyBorder="1"/>
    <xf numFmtId="165" fontId="1" fillId="0" borderId="10" xfId="0" applyNumberFormat="1" applyFont="1" applyBorder="1" applyAlignment="1">
      <alignment horizontal="center" vertical="center"/>
    </xf>
    <xf numFmtId="165" fontId="1" fillId="0" borderId="23" xfId="0" applyNumberFormat="1" applyFont="1" applyBorder="1" applyAlignment="1">
      <alignment horizontal="center" vertical="center"/>
    </xf>
    <xf numFmtId="167" fontId="1" fillId="0" borderId="10" xfId="0" applyNumberFormat="1" applyFont="1" applyBorder="1" applyAlignment="1">
      <alignment horizontal="center" vertical="center"/>
    </xf>
    <xf numFmtId="166" fontId="1" fillId="0" borderId="23" xfId="0" applyNumberFormat="1" applyFont="1" applyBorder="1" applyAlignment="1">
      <alignment horizontal="center" vertical="center"/>
    </xf>
    <xf numFmtId="165" fontId="1" fillId="3" borderId="1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66" fontId="1" fillId="0" borderId="10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6" fontId="1" fillId="0" borderId="22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1" fillId="2" borderId="0" xfId="0" applyFont="1" applyFill="1" applyAlignment="1">
      <alignment horizontal="left"/>
    </xf>
    <xf numFmtId="165" fontId="11" fillId="2" borderId="0" xfId="0" applyNumberFormat="1" applyFont="1" applyFill="1" applyAlignment="1">
      <alignment horizontal="center"/>
    </xf>
    <xf numFmtId="164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65" fontId="1" fillId="0" borderId="0" xfId="0" applyNumberFormat="1" applyFont="1" applyAlignment="1">
      <alignment horizontal="center"/>
    </xf>
    <xf numFmtId="164" fontId="12" fillId="0" borderId="0" xfId="0" applyNumberFormat="1" applyFont="1" applyAlignment="1">
      <alignment horizontal="left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13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14" fillId="3" borderId="0" xfId="0" applyFont="1" applyFill="1" applyAlignment="1">
      <alignment horizontal="right"/>
    </xf>
    <xf numFmtId="165" fontId="14" fillId="3" borderId="0" xfId="0" applyNumberFormat="1" applyFont="1" applyFill="1"/>
    <xf numFmtId="0" fontId="4" fillId="0" borderId="0" xfId="0" applyFont="1"/>
    <xf numFmtId="164" fontId="4" fillId="0" borderId="0" xfId="0" applyNumberFormat="1" applyFont="1"/>
    <xf numFmtId="0" fontId="4" fillId="3" borderId="0" xfId="0" applyFont="1" applyFill="1"/>
    <xf numFmtId="0" fontId="3" fillId="0" borderId="0" xfId="0" applyFont="1"/>
    <xf numFmtId="0" fontId="1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Cengkeh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1731843575418995"/>
          <c:y val="0.16283536585365854"/>
          <c:w val="0.84427374301675973"/>
          <c:h val="0.4164329268292683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Cengkeh!$M$11:$M$42</c:f>
              <c:strCache>
                <c:ptCount val="28"/>
                <c:pt idx="0">
                  <c:v>Kab. Wonogiri</c:v>
                </c:pt>
                <c:pt idx="1">
                  <c:v>Kab. Cilacap</c:v>
                </c:pt>
                <c:pt idx="2">
                  <c:v>Kab. Pemalang</c:v>
                </c:pt>
                <c:pt idx="3">
                  <c:v>Kab. Semarang</c:v>
                </c:pt>
                <c:pt idx="4">
                  <c:v>Kab. Purworejo</c:v>
                </c:pt>
                <c:pt idx="5">
                  <c:v>Kab. Batang</c:v>
                </c:pt>
                <c:pt idx="6">
                  <c:v>Kab. Banyumas</c:v>
                </c:pt>
                <c:pt idx="7">
                  <c:v>Kab. Tegal</c:v>
                </c:pt>
                <c:pt idx="8">
                  <c:v>Kab. Pekalongan</c:v>
                </c:pt>
                <c:pt idx="9">
                  <c:v>Kab. Pati</c:v>
                </c:pt>
                <c:pt idx="10">
                  <c:v>Kab. Magelang</c:v>
                </c:pt>
                <c:pt idx="11">
                  <c:v>Kab. Boyolali</c:v>
                </c:pt>
                <c:pt idx="12">
                  <c:v>Kab. Purbalingga</c:v>
                </c:pt>
                <c:pt idx="13">
                  <c:v>Kab. Kebumen</c:v>
                </c:pt>
                <c:pt idx="14">
                  <c:v>Kab. Karanganyar</c:v>
                </c:pt>
                <c:pt idx="15">
                  <c:v>Kab. Banjarnegara</c:v>
                </c:pt>
                <c:pt idx="16">
                  <c:v>Kab. Klaten</c:v>
                </c:pt>
                <c:pt idx="17">
                  <c:v>Kab. Kendal</c:v>
                </c:pt>
                <c:pt idx="18">
                  <c:v>Kab. Brebes</c:v>
                </c:pt>
                <c:pt idx="19">
                  <c:v>Kab. Jepara</c:v>
                </c:pt>
                <c:pt idx="20">
                  <c:v>Kab. Sragen</c:v>
                </c:pt>
                <c:pt idx="21">
                  <c:v>Kab. Temanggung</c:v>
                </c:pt>
                <c:pt idx="22">
                  <c:v>Kab. Kudus</c:v>
                </c:pt>
                <c:pt idx="23">
                  <c:v>Kab. Rembang</c:v>
                </c:pt>
                <c:pt idx="24">
                  <c:v>Kab. Wonosobo</c:v>
                </c:pt>
                <c:pt idx="25">
                  <c:v>Kota Salatiga</c:v>
                </c:pt>
                <c:pt idx="26">
                  <c:v>Kota Semarang</c:v>
                </c:pt>
                <c:pt idx="27">
                  <c:v>Kab. Sukoharjo</c:v>
                </c:pt>
              </c:strCache>
            </c:strRef>
          </c:cat>
          <c:val>
            <c:numRef>
              <c:f>Cengkeh!$N$11:$N$42</c:f>
              <c:numCache>
                <c:formatCode>_(* #,##0.00_);_(* \(#,##0.00\);_(* \-??_);_(@_)</c:formatCode>
                <c:ptCount val="32"/>
                <c:pt idx="0">
                  <c:v>4157</c:v>
                </c:pt>
                <c:pt idx="1">
                  <c:v>2839.72</c:v>
                </c:pt>
                <c:pt idx="2">
                  <c:v>2813.2799999999902</c:v>
                </c:pt>
                <c:pt idx="3">
                  <c:v>2667.36</c:v>
                </c:pt>
                <c:pt idx="4">
                  <c:v>2076.38</c:v>
                </c:pt>
                <c:pt idx="5">
                  <c:v>1962.48999999999</c:v>
                </c:pt>
                <c:pt idx="6">
                  <c:v>1599.08</c:v>
                </c:pt>
                <c:pt idx="7">
                  <c:v>1564.19</c:v>
                </c:pt>
                <c:pt idx="8">
                  <c:v>1562.46</c:v>
                </c:pt>
                <c:pt idx="9">
                  <c:v>1494.44999999999</c:v>
                </c:pt>
                <c:pt idx="10">
                  <c:v>1354.9</c:v>
                </c:pt>
                <c:pt idx="11">
                  <c:v>1060.6099999999999</c:v>
                </c:pt>
                <c:pt idx="12">
                  <c:v>1006.06999999999</c:v>
                </c:pt>
                <c:pt idx="13">
                  <c:v>824.1</c:v>
                </c:pt>
                <c:pt idx="14">
                  <c:v>649.65</c:v>
                </c:pt>
                <c:pt idx="15">
                  <c:v>619.87999999999897</c:v>
                </c:pt>
                <c:pt idx="16">
                  <c:v>612.81999999999903</c:v>
                </c:pt>
                <c:pt idx="17">
                  <c:v>594.01</c:v>
                </c:pt>
                <c:pt idx="18">
                  <c:v>576.70000000000005</c:v>
                </c:pt>
                <c:pt idx="19">
                  <c:v>502.98</c:v>
                </c:pt>
                <c:pt idx="20">
                  <c:v>429</c:v>
                </c:pt>
                <c:pt idx="21">
                  <c:v>419.61</c:v>
                </c:pt>
                <c:pt idx="22">
                  <c:v>318.60000000000002</c:v>
                </c:pt>
                <c:pt idx="23">
                  <c:v>165</c:v>
                </c:pt>
                <c:pt idx="24">
                  <c:v>150.78</c:v>
                </c:pt>
                <c:pt idx="25">
                  <c:v>32.5</c:v>
                </c:pt>
                <c:pt idx="26">
                  <c:v>30.91</c:v>
                </c:pt>
                <c:pt idx="27">
                  <c:v>6.66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492-41F7-BE9A-32143D67CB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3195857"/>
        <c:axId val="774079161"/>
      </c:barChart>
      <c:catAx>
        <c:axId val="35319585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774079161"/>
        <c:crosses val="autoZero"/>
        <c:auto val="1"/>
        <c:lblAlgn val="ctr"/>
        <c:lblOffset val="100"/>
        <c:noMultiLvlLbl val="1"/>
      </c:catAx>
      <c:valAx>
        <c:axId val="77407916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35319585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Cengkeh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508607594301632"/>
          <c:y val="0.16189110345367691"/>
          <c:w val="0.83390717295344274"/>
          <c:h val="0.3889938522985354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Cengkeh!$O$11:$O$42</c:f>
              <c:strCache>
                <c:ptCount val="27"/>
                <c:pt idx="0">
                  <c:v>Kab. Banyumas</c:v>
                </c:pt>
                <c:pt idx="1">
                  <c:v>Kab. Wonogiri</c:v>
                </c:pt>
                <c:pt idx="2">
                  <c:v>Kab. Cilacap</c:v>
                </c:pt>
                <c:pt idx="3">
                  <c:v>Kab. Pekalongan</c:v>
                </c:pt>
                <c:pt idx="4">
                  <c:v>Kab. Pati</c:v>
                </c:pt>
                <c:pt idx="5">
                  <c:v>Kab. Purworejo</c:v>
                </c:pt>
                <c:pt idx="6">
                  <c:v>Kab. Batang</c:v>
                </c:pt>
                <c:pt idx="7">
                  <c:v>Kab. Boyolali</c:v>
                </c:pt>
                <c:pt idx="8">
                  <c:v>Kab. Kendal</c:v>
                </c:pt>
                <c:pt idx="9">
                  <c:v>Kab. Magelang</c:v>
                </c:pt>
                <c:pt idx="10">
                  <c:v>Kab. Semarang</c:v>
                </c:pt>
                <c:pt idx="11">
                  <c:v>Kab. Kebumen</c:v>
                </c:pt>
                <c:pt idx="12">
                  <c:v>Kab. Brebes</c:v>
                </c:pt>
                <c:pt idx="13">
                  <c:v>Kab. Pemalang</c:v>
                </c:pt>
                <c:pt idx="14">
                  <c:v>Kab. Klaten</c:v>
                </c:pt>
                <c:pt idx="15">
                  <c:v>Kab. Banjarnegara</c:v>
                </c:pt>
                <c:pt idx="16">
                  <c:v>Kab. Kudus</c:v>
                </c:pt>
                <c:pt idx="17">
                  <c:v>Kab. Jepara</c:v>
                </c:pt>
                <c:pt idx="18">
                  <c:v>Kab. Tegal</c:v>
                </c:pt>
                <c:pt idx="19">
                  <c:v>Kab. Sragen</c:v>
                </c:pt>
                <c:pt idx="20">
                  <c:v>Kab. Karanganyar</c:v>
                </c:pt>
                <c:pt idx="21">
                  <c:v>Kab. Temanggung</c:v>
                </c:pt>
                <c:pt idx="22">
                  <c:v>Kab. Purbalingga</c:v>
                </c:pt>
                <c:pt idx="23">
                  <c:v>Kab. Rembang</c:v>
                </c:pt>
                <c:pt idx="24">
                  <c:v>Kab. Wonosobo</c:v>
                </c:pt>
                <c:pt idx="25">
                  <c:v>Kota Salatiga</c:v>
                </c:pt>
                <c:pt idx="26">
                  <c:v>Kab. Sukoharjo</c:v>
                </c:pt>
              </c:strCache>
            </c:strRef>
          </c:cat>
          <c:val>
            <c:numRef>
              <c:f>Cengkeh!$P$11:$P$42</c:f>
              <c:numCache>
                <c:formatCode>_(* #,##0.00_);_(* \(#,##0.00\);_(* \-??_);_(@_)</c:formatCode>
                <c:ptCount val="32"/>
                <c:pt idx="0">
                  <c:v>594.76</c:v>
                </c:pt>
                <c:pt idx="1">
                  <c:v>565.70000000000005</c:v>
                </c:pt>
                <c:pt idx="2">
                  <c:v>472.45</c:v>
                </c:pt>
                <c:pt idx="3">
                  <c:v>458.88</c:v>
                </c:pt>
                <c:pt idx="4">
                  <c:v>402.21</c:v>
                </c:pt>
                <c:pt idx="5">
                  <c:v>349.95</c:v>
                </c:pt>
                <c:pt idx="6">
                  <c:v>343.39</c:v>
                </c:pt>
                <c:pt idx="7">
                  <c:v>251.79</c:v>
                </c:pt>
                <c:pt idx="8">
                  <c:v>250.08</c:v>
                </c:pt>
                <c:pt idx="9">
                  <c:v>187.01</c:v>
                </c:pt>
                <c:pt idx="10">
                  <c:v>169.99</c:v>
                </c:pt>
                <c:pt idx="11">
                  <c:v>159.91999999999999</c:v>
                </c:pt>
                <c:pt idx="12">
                  <c:v>158.13999999999999</c:v>
                </c:pt>
                <c:pt idx="13">
                  <c:v>133.15</c:v>
                </c:pt>
                <c:pt idx="14">
                  <c:v>122.2</c:v>
                </c:pt>
                <c:pt idx="15">
                  <c:v>89.09</c:v>
                </c:pt>
                <c:pt idx="16">
                  <c:v>74.42</c:v>
                </c:pt>
                <c:pt idx="17">
                  <c:v>70.94</c:v>
                </c:pt>
                <c:pt idx="18">
                  <c:v>70.83</c:v>
                </c:pt>
                <c:pt idx="19">
                  <c:v>63.29</c:v>
                </c:pt>
                <c:pt idx="20">
                  <c:v>59.08</c:v>
                </c:pt>
                <c:pt idx="21">
                  <c:v>54.75</c:v>
                </c:pt>
                <c:pt idx="22">
                  <c:v>27.43</c:v>
                </c:pt>
                <c:pt idx="23">
                  <c:v>24.19</c:v>
                </c:pt>
                <c:pt idx="24">
                  <c:v>17.29</c:v>
                </c:pt>
                <c:pt idx="25">
                  <c:v>4.8499999999999996</c:v>
                </c:pt>
                <c:pt idx="26">
                  <c:v>0.84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C43-4ABD-A9B5-9FE3DD82C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5674463"/>
        <c:axId val="636646334"/>
      </c:barChart>
      <c:catAx>
        <c:axId val="14856744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636646334"/>
        <c:crosses val="autoZero"/>
        <c:auto val="1"/>
        <c:lblAlgn val="ctr"/>
        <c:lblOffset val="100"/>
        <c:noMultiLvlLbl val="1"/>
      </c:catAx>
      <c:valAx>
        <c:axId val="63664633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48567446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Cengkeh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Cengkeh!$B$64:$B$69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Cengkeh!$C$64:$C$69</c:f>
              <c:numCache>
                <c:formatCode>_(* #,##0.00_);_(* \(#,##0.00\);_(* \-??_);_(@_)</c:formatCode>
                <c:ptCount val="6"/>
                <c:pt idx="0">
                  <c:v>5176.6200000000008</c:v>
                </c:pt>
                <c:pt idx="1">
                  <c:v>5215.3400000000011</c:v>
                </c:pt>
                <c:pt idx="2">
                  <c:v>6232.1600000000008</c:v>
                </c:pt>
                <c:pt idx="3">
                  <c:v>7078.920000000001</c:v>
                </c:pt>
                <c:pt idx="4">
                  <c:v>7381.0083088999982</c:v>
                </c:pt>
                <c:pt idx="5">
                  <c:v>7268.5044879999996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B3-4CB8-82A8-55F669E97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6209759"/>
        <c:axId val="1810366476"/>
      </c:lineChart>
      <c:catAx>
        <c:axId val="12362097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810366476"/>
        <c:crosses val="autoZero"/>
        <c:auto val="1"/>
        <c:lblAlgn val="ctr"/>
        <c:lblOffset val="100"/>
        <c:noMultiLvlLbl val="1"/>
      </c:catAx>
      <c:valAx>
        <c:axId val="1810366476"/>
        <c:scaling>
          <c:orientation val="minMax"/>
          <c:min val="4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236209759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0</xdr:colOff>
      <xdr:row>9</xdr:row>
      <xdr:rowOff>0</xdr:rowOff>
    </xdr:from>
    <xdr:ext cx="4543425" cy="3114675"/>
    <xdr:graphicFrame macro="">
      <xdr:nvGraphicFramePr>
        <xdr:cNvPr id="2" name="Chart 81" title="Chart">
          <a:extLst>
            <a:ext uri="{FF2B5EF4-FFF2-40B4-BE49-F238E27FC236}">
              <a16:creationId xmlns:a16="http://schemas.microsoft.com/office/drawing/2014/main" id="{C271FDEA-D34D-46FA-87C5-7FE6EF7E30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16</xdr:col>
      <xdr:colOff>600075</xdr:colOff>
      <xdr:row>24</xdr:row>
      <xdr:rowOff>0</xdr:rowOff>
    </xdr:from>
    <xdr:ext cx="4543425" cy="2857500"/>
    <xdr:graphicFrame macro="">
      <xdr:nvGraphicFramePr>
        <xdr:cNvPr id="3" name="Chart 82" title="Chart">
          <a:extLst>
            <a:ext uri="{FF2B5EF4-FFF2-40B4-BE49-F238E27FC236}">
              <a16:creationId xmlns:a16="http://schemas.microsoft.com/office/drawing/2014/main" id="{18276692-D686-435F-BE3D-F9971024D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28575</xdr:colOff>
      <xdr:row>61</xdr:row>
      <xdr:rowOff>0</xdr:rowOff>
    </xdr:from>
    <xdr:ext cx="5572125" cy="3114675"/>
    <xdr:graphicFrame macro="">
      <xdr:nvGraphicFramePr>
        <xdr:cNvPr id="4" name="Chart 83" title="Chart">
          <a:extLst>
            <a:ext uri="{FF2B5EF4-FFF2-40B4-BE49-F238E27FC236}">
              <a16:creationId xmlns:a16="http://schemas.microsoft.com/office/drawing/2014/main" id="{A05D7C91-1C6D-4F4F-A5BF-8F8DE000EB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1066800</xdr:colOff>
      <xdr:row>59</xdr:row>
      <xdr:rowOff>171450</xdr:rowOff>
    </xdr:from>
    <xdr:ext cx="6562725" cy="5953125"/>
    <xdr:pic>
      <xdr:nvPicPr>
        <xdr:cNvPr id="5" name="image39.png" title="Gambar">
          <a:extLst>
            <a:ext uri="{FF2B5EF4-FFF2-40B4-BE49-F238E27FC236}">
              <a16:creationId xmlns:a16="http://schemas.microsoft.com/office/drawing/2014/main" id="{295EEC2F-9D45-46E8-8BD6-659F7AABFF73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2925425" y="1088707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152400</xdr:colOff>
      <xdr:row>60</xdr:row>
      <xdr:rowOff>152400</xdr:rowOff>
    </xdr:from>
    <xdr:ext cx="4981575" cy="4514850"/>
    <xdr:pic>
      <xdr:nvPicPr>
        <xdr:cNvPr id="6" name="image47.png" title="Image">
          <a:extLst>
            <a:ext uri="{FF2B5EF4-FFF2-40B4-BE49-F238E27FC236}">
              <a16:creationId xmlns:a16="http://schemas.microsoft.com/office/drawing/2014/main" id="{D56A2E61-958E-41B0-94AE-0FB036A99887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5829300" y="11087100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>
        <row r="11">
          <cell r="M11" t="str">
            <v>Kab. Wonogiri</v>
          </cell>
          <cell r="N11">
            <v>4157</v>
          </cell>
          <cell r="O11" t="str">
            <v>Kab. Banyumas</v>
          </cell>
          <cell r="P11">
            <v>594.76</v>
          </cell>
        </row>
        <row r="12">
          <cell r="M12" t="str">
            <v>Kab. Cilacap</v>
          </cell>
          <cell r="N12">
            <v>2839.72</v>
          </cell>
          <cell r="O12" t="str">
            <v>Kab. Wonogiri</v>
          </cell>
          <cell r="P12">
            <v>565.70000000000005</v>
          </cell>
        </row>
        <row r="13">
          <cell r="M13" t="str">
            <v>Kab. Pemalang</v>
          </cell>
          <cell r="N13">
            <v>2813.2799999999902</v>
          </cell>
          <cell r="O13" t="str">
            <v>Kab. Cilacap</v>
          </cell>
          <cell r="P13">
            <v>472.45</v>
          </cell>
        </row>
        <row r="14">
          <cell r="M14" t="str">
            <v>Kab. Semarang</v>
          </cell>
          <cell r="N14">
            <v>2667.36</v>
          </cell>
          <cell r="O14" t="str">
            <v>Kab. Pekalongan</v>
          </cell>
          <cell r="P14">
            <v>458.88</v>
          </cell>
        </row>
        <row r="15">
          <cell r="M15" t="str">
            <v>Kab. Purworejo</v>
          </cell>
          <cell r="N15">
            <v>2076.38</v>
          </cell>
          <cell r="O15" t="str">
            <v>Kab. Pati</v>
          </cell>
          <cell r="P15">
            <v>402.21</v>
          </cell>
        </row>
        <row r="16">
          <cell r="M16" t="str">
            <v>Kab. Batang</v>
          </cell>
          <cell r="N16">
            <v>1962.48999999999</v>
          </cell>
          <cell r="O16" t="str">
            <v>Kab. Purworejo</v>
          </cell>
          <cell r="P16">
            <v>349.95</v>
          </cell>
        </row>
        <row r="17">
          <cell r="M17" t="str">
            <v>Kab. Banyumas</v>
          </cell>
          <cell r="N17">
            <v>1599.08</v>
          </cell>
          <cell r="O17" t="str">
            <v>Kab. Batang</v>
          </cell>
          <cell r="P17">
            <v>343.39</v>
          </cell>
        </row>
        <row r="18">
          <cell r="M18" t="str">
            <v>Kab. Tegal</v>
          </cell>
          <cell r="N18">
            <v>1564.19</v>
          </cell>
          <cell r="O18" t="str">
            <v>Kab. Boyolali</v>
          </cell>
          <cell r="P18">
            <v>251.79</v>
          </cell>
        </row>
        <row r="19">
          <cell r="M19" t="str">
            <v>Kab. Pekalongan</v>
          </cell>
          <cell r="N19">
            <v>1562.46</v>
          </cell>
          <cell r="O19" t="str">
            <v>Kab. Kendal</v>
          </cell>
          <cell r="P19">
            <v>250.08</v>
          </cell>
        </row>
        <row r="20">
          <cell r="M20" t="str">
            <v>Kab. Pati</v>
          </cell>
          <cell r="N20">
            <v>1494.44999999999</v>
          </cell>
          <cell r="O20" t="str">
            <v>Kab. Magelang</v>
          </cell>
          <cell r="P20">
            <v>187.01</v>
          </cell>
        </row>
        <row r="21">
          <cell r="M21" t="str">
            <v>Kab. Magelang</v>
          </cell>
          <cell r="N21">
            <v>1354.9</v>
          </cell>
          <cell r="O21" t="str">
            <v>Kab. Semarang</v>
          </cell>
          <cell r="P21">
            <v>169.99</v>
          </cell>
        </row>
        <row r="22">
          <cell r="M22" t="str">
            <v>Kab. Boyolali</v>
          </cell>
          <cell r="N22">
            <v>1060.6099999999999</v>
          </cell>
          <cell r="O22" t="str">
            <v>Kab. Kebumen</v>
          </cell>
          <cell r="P22">
            <v>159.91999999999999</v>
          </cell>
        </row>
        <row r="23">
          <cell r="M23" t="str">
            <v>Kab. Purbalingga</v>
          </cell>
          <cell r="N23">
            <v>1006.06999999999</v>
          </cell>
          <cell r="O23" t="str">
            <v>Kab. Brebes</v>
          </cell>
          <cell r="P23">
            <v>158.13999999999999</v>
          </cell>
        </row>
        <row r="24">
          <cell r="M24" t="str">
            <v>Kab. Kebumen</v>
          </cell>
          <cell r="N24">
            <v>824.1</v>
          </cell>
          <cell r="O24" t="str">
            <v>Kab. Pemalang</v>
          </cell>
          <cell r="P24">
            <v>133.15</v>
          </cell>
        </row>
        <row r="25">
          <cell r="M25" t="str">
            <v>Kab. Karanganyar</v>
          </cell>
          <cell r="N25">
            <v>649.65</v>
          </cell>
          <cell r="O25" t="str">
            <v>Kab. Klaten</v>
          </cell>
          <cell r="P25">
            <v>122.2</v>
          </cell>
        </row>
        <row r="26">
          <cell r="M26" t="str">
            <v>Kab. Banjarnegara</v>
          </cell>
          <cell r="N26">
            <v>619.87999999999897</v>
          </cell>
          <cell r="O26" t="str">
            <v>Kab. Banjarnegara</v>
          </cell>
          <cell r="P26">
            <v>89.09</v>
          </cell>
        </row>
        <row r="27">
          <cell r="M27" t="str">
            <v>Kab. Klaten</v>
          </cell>
          <cell r="N27">
            <v>612.81999999999903</v>
          </cell>
          <cell r="O27" t="str">
            <v>Kab. Kudus</v>
          </cell>
          <cell r="P27">
            <v>74.42</v>
          </cell>
        </row>
        <row r="28">
          <cell r="M28" t="str">
            <v>Kab. Kendal</v>
          </cell>
          <cell r="N28">
            <v>594.01</v>
          </cell>
          <cell r="O28" t="str">
            <v>Kab. Jepara</v>
          </cell>
          <cell r="P28">
            <v>70.94</v>
          </cell>
        </row>
        <row r="29">
          <cell r="M29" t="str">
            <v>Kab. Brebes</v>
          </cell>
          <cell r="N29">
            <v>576.70000000000005</v>
          </cell>
          <cell r="O29" t="str">
            <v>Kab. Tegal</v>
          </cell>
          <cell r="P29">
            <v>70.83</v>
          </cell>
        </row>
        <row r="30">
          <cell r="M30" t="str">
            <v>Kab. Jepara</v>
          </cell>
          <cell r="N30">
            <v>502.98</v>
          </cell>
          <cell r="O30" t="str">
            <v>Kab. Sragen</v>
          </cell>
          <cell r="P30">
            <v>63.29</v>
          </cell>
        </row>
        <row r="31">
          <cell r="M31" t="str">
            <v>Kab. Sragen</v>
          </cell>
          <cell r="N31">
            <v>429</v>
          </cell>
          <cell r="O31" t="str">
            <v>Kab. Karanganyar</v>
          </cell>
          <cell r="P31">
            <v>59.08</v>
          </cell>
        </row>
        <row r="32">
          <cell r="M32" t="str">
            <v>Kab. Temanggung</v>
          </cell>
          <cell r="N32">
            <v>419.61</v>
          </cell>
          <cell r="O32" t="str">
            <v>Kab. Temanggung</v>
          </cell>
          <cell r="P32">
            <v>54.75</v>
          </cell>
        </row>
        <row r="33">
          <cell r="M33" t="str">
            <v>Kab. Kudus</v>
          </cell>
          <cell r="N33">
            <v>318.60000000000002</v>
          </cell>
          <cell r="O33" t="str">
            <v>Kab. Purbalingga</v>
          </cell>
          <cell r="P33">
            <v>27.43</v>
          </cell>
        </row>
        <row r="34">
          <cell r="M34" t="str">
            <v>Kab. Rembang</v>
          </cell>
          <cell r="N34">
            <v>165</v>
          </cell>
          <cell r="O34" t="str">
            <v>Kab. Rembang</v>
          </cell>
          <cell r="P34">
            <v>24.19</v>
          </cell>
        </row>
        <row r="35">
          <cell r="M35" t="str">
            <v>Kab. Wonosobo</v>
          </cell>
          <cell r="N35">
            <v>150.78</v>
          </cell>
          <cell r="O35" t="str">
            <v>Kab. Wonosobo</v>
          </cell>
          <cell r="P35">
            <v>17.29</v>
          </cell>
        </row>
        <row r="36">
          <cell r="M36" t="str">
            <v>Kota Salatiga</v>
          </cell>
          <cell r="N36">
            <v>32.5</v>
          </cell>
          <cell r="O36" t="str">
            <v>Kota Salatiga</v>
          </cell>
          <cell r="P36">
            <v>4.8499999999999996</v>
          </cell>
        </row>
        <row r="37">
          <cell r="M37" t="str">
            <v>Kota Semarang</v>
          </cell>
          <cell r="N37">
            <v>30.91</v>
          </cell>
          <cell r="O37" t="str">
            <v>Kab. Sukoharjo</v>
          </cell>
          <cell r="P37">
            <v>0.84</v>
          </cell>
        </row>
        <row r="38">
          <cell r="M38" t="str">
            <v>Kab. Sukoharjo</v>
          </cell>
          <cell r="N38">
            <v>6.66</v>
          </cell>
        </row>
        <row r="64">
          <cell r="B64" t="str">
            <v>2024</v>
          </cell>
          <cell r="C64">
            <v>5176.6200000000008</v>
          </cell>
        </row>
        <row r="65">
          <cell r="B65" t="str">
            <v>2023</v>
          </cell>
          <cell r="C65">
            <v>5215.3400000000011</v>
          </cell>
        </row>
        <row r="66">
          <cell r="B66" t="str">
            <v>2022</v>
          </cell>
          <cell r="C66">
            <v>6232.1600000000008</v>
          </cell>
        </row>
        <row r="67">
          <cell r="B67" t="str">
            <v>2021</v>
          </cell>
          <cell r="C67">
            <v>7078.920000000001</v>
          </cell>
        </row>
        <row r="68">
          <cell r="B68" t="str">
            <v>2020</v>
          </cell>
          <cell r="C68">
            <v>7381.0083088999982</v>
          </cell>
        </row>
        <row r="69">
          <cell r="B69" t="str">
            <v>2019</v>
          </cell>
          <cell r="C69">
            <v>7268.5044879999996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BXZtZ/1/" TargetMode="External"/><Relationship Id="rId1" Type="http://schemas.openxmlformats.org/officeDocument/2006/relationships/hyperlink" Target="https://datawrapper.dwcdn.net/xq3wS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E04AD-3C73-4882-9027-32C628F2536B}">
  <sheetPr>
    <tabColor rgb="FF974806"/>
    <pageSetUpPr fitToPage="1"/>
  </sheetPr>
  <dimension ref="A1:AA1003"/>
  <sheetViews>
    <sheetView tabSelected="1" workbookViewId="0">
      <selection sqref="A1:J1"/>
    </sheetView>
  </sheetViews>
  <sheetFormatPr defaultColWidth="14.42578125" defaultRowHeight="15" customHeight="1"/>
  <cols>
    <col min="1" max="1" width="4.5703125" customWidth="1"/>
    <col min="2" max="2" width="22.85546875" customWidth="1"/>
    <col min="3" max="3" width="14.140625" customWidth="1"/>
    <col min="4" max="4" width="15.28515625" customWidth="1"/>
    <col min="5" max="6" width="14.140625" customWidth="1"/>
    <col min="7" max="7" width="15.140625" customWidth="1"/>
    <col min="8" max="8" width="10.42578125" customWidth="1"/>
    <col min="9" max="9" width="11.140625" customWidth="1"/>
    <col min="10" max="10" width="12.85546875" customWidth="1"/>
    <col min="11" max="11" width="9.5703125" customWidth="1"/>
    <col min="12" max="12" width="9.28515625" customWidth="1"/>
    <col min="13" max="13" width="24.28515625" customWidth="1"/>
    <col min="14" max="14" width="16.28515625" customWidth="1"/>
    <col min="15" max="15" width="18.7109375" customWidth="1"/>
    <col min="16" max="16" width="13.28515625" customWidth="1"/>
    <col min="17" max="17" width="9.140625" customWidth="1"/>
    <col min="18" max="18" width="12.140625" customWidth="1"/>
    <col min="19" max="19" width="9.140625" customWidth="1"/>
    <col min="20" max="20" width="12.42578125" customWidth="1"/>
    <col min="21" max="23" width="9.140625" customWidth="1"/>
    <col min="24" max="24" width="9.140625" hidden="1" customWidth="1"/>
    <col min="25" max="27" width="9.140625" customWidth="1"/>
  </cols>
  <sheetData>
    <row r="1" spans="1:27" ht="17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 t="s">
        <v>1</v>
      </c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 t="s">
        <v>2</v>
      </c>
    </row>
    <row r="2" spans="1:27" ht="17.25" customHeight="1">
      <c r="A2" s="1" t="s">
        <v>3</v>
      </c>
      <c r="B2" s="2"/>
      <c r="C2" s="2"/>
      <c r="D2" s="2"/>
      <c r="E2" s="2"/>
      <c r="F2" s="2"/>
      <c r="G2" s="2"/>
      <c r="H2" s="2"/>
      <c r="I2" s="2"/>
      <c r="J2" s="2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7.2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7.25" customHeight="1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7.25" customHeight="1">
      <c r="A5" s="6"/>
      <c r="B5" s="7"/>
      <c r="C5" s="7"/>
      <c r="D5" s="7"/>
      <c r="E5" s="7"/>
      <c r="F5" s="7"/>
      <c r="G5" s="7"/>
      <c r="H5" s="7"/>
      <c r="I5" s="7"/>
      <c r="J5" s="7"/>
      <c r="K5" s="3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7.25" customHeight="1">
      <c r="A6" s="8" t="s">
        <v>5</v>
      </c>
      <c r="B6" s="8" t="s">
        <v>6</v>
      </c>
      <c r="C6" s="9" t="s">
        <v>7</v>
      </c>
      <c r="D6" s="10"/>
      <c r="E6" s="10"/>
      <c r="F6" s="11"/>
      <c r="G6" s="12" t="s">
        <v>8</v>
      </c>
      <c r="H6" s="11"/>
      <c r="I6" s="13" t="s">
        <v>9</v>
      </c>
      <c r="J6" s="14" t="s">
        <v>10</v>
      </c>
      <c r="K6" s="3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7.25" customHeight="1">
      <c r="A7" s="15"/>
      <c r="B7" s="15"/>
      <c r="C7" s="16"/>
      <c r="D7" s="7"/>
      <c r="E7" s="7"/>
      <c r="F7" s="17"/>
      <c r="G7" s="16"/>
      <c r="H7" s="17"/>
      <c r="I7" s="15"/>
      <c r="J7" s="15"/>
      <c r="K7" s="3"/>
      <c r="L7" s="3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7.25" customHeight="1">
      <c r="A8" s="15"/>
      <c r="B8" s="15"/>
      <c r="C8" s="8" t="s">
        <v>11</v>
      </c>
      <c r="D8" s="8" t="s">
        <v>12</v>
      </c>
      <c r="E8" s="8" t="s">
        <v>13</v>
      </c>
      <c r="F8" s="8" t="s">
        <v>14</v>
      </c>
      <c r="G8" s="18" t="s">
        <v>15</v>
      </c>
      <c r="H8" s="13" t="s">
        <v>16</v>
      </c>
      <c r="I8" s="15"/>
      <c r="J8" s="15"/>
      <c r="K8" s="3"/>
      <c r="L8" s="3"/>
      <c r="M8" s="19" t="s">
        <v>17</v>
      </c>
      <c r="N8" s="2"/>
      <c r="O8" s="19" t="s">
        <v>18</v>
      </c>
      <c r="P8" s="2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7.25" customHeight="1">
      <c r="A9" s="20"/>
      <c r="B9" s="15"/>
      <c r="C9" s="20"/>
      <c r="D9" s="20"/>
      <c r="E9" s="20"/>
      <c r="F9" s="20"/>
      <c r="G9" s="15"/>
      <c r="H9" s="20"/>
      <c r="I9" s="20"/>
      <c r="J9" s="15"/>
      <c r="K9" s="3"/>
      <c r="L9" s="3"/>
      <c r="M9" s="2"/>
      <c r="N9" s="2"/>
      <c r="O9" s="2"/>
      <c r="P9" s="2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7.25" customHeight="1">
      <c r="A10" s="21">
        <v>1</v>
      </c>
      <c r="B10" s="22">
        <v>2</v>
      </c>
      <c r="C10" s="23">
        <v>4</v>
      </c>
      <c r="D10" s="23">
        <v>5</v>
      </c>
      <c r="E10" s="23">
        <v>6</v>
      </c>
      <c r="F10" s="24">
        <v>3</v>
      </c>
      <c r="G10" s="25">
        <v>7</v>
      </c>
      <c r="H10" s="26">
        <v>8</v>
      </c>
      <c r="I10" s="27">
        <v>9</v>
      </c>
      <c r="J10" s="28">
        <v>10</v>
      </c>
      <c r="K10" s="3"/>
      <c r="L10" s="3"/>
      <c r="M10" s="4" t="s">
        <v>19</v>
      </c>
      <c r="N10" s="4" t="s">
        <v>20</v>
      </c>
      <c r="O10" s="4" t="s">
        <v>19</v>
      </c>
      <c r="P10" s="4" t="s">
        <v>21</v>
      </c>
      <c r="Q10" s="4"/>
      <c r="R10" s="4"/>
      <c r="S10" s="4"/>
      <c r="T10" s="4"/>
      <c r="U10" s="4"/>
      <c r="V10" s="4"/>
      <c r="W10" s="4"/>
      <c r="X10" s="29" t="str">
        <f>UPPER(AA1)</f>
        <v>CENGKEH</v>
      </c>
      <c r="Y10" s="4"/>
      <c r="Z10" s="30"/>
      <c r="AA10" s="30"/>
    </row>
    <row r="11" spans="1:27" ht="17.25" customHeight="1">
      <c r="A11" s="31">
        <v>1</v>
      </c>
      <c r="B11" s="32" t="s">
        <v>22</v>
      </c>
      <c r="C11" s="33">
        <v>1448.49</v>
      </c>
      <c r="D11" s="33">
        <v>1003.42</v>
      </c>
      <c r="E11" s="33">
        <v>387.81</v>
      </c>
      <c r="F11" s="34">
        <f t="shared" ref="F11:F42" si="0">SUM(C11:E11)</f>
        <v>2839.72</v>
      </c>
      <c r="G11" s="35">
        <v>472.45</v>
      </c>
      <c r="H11" s="36">
        <f t="shared" ref="H11:H42" si="1">IFERROR(G11/D11*1000,0)</f>
        <v>470.83972812979613</v>
      </c>
      <c r="I11" s="36">
        <v>6359</v>
      </c>
      <c r="J11" s="37">
        <f t="shared" ref="J11:J43" si="2">IF(I11=0,0,F11/I11)</f>
        <v>0.44656707029407139</v>
      </c>
      <c r="K11" s="3" t="str">
        <f>IF(F11=0,"",IF(G11=F11,"SALAH",""))</f>
        <v/>
      </c>
      <c r="L11" s="3"/>
      <c r="M11" s="32" t="str">
        <f ca="1">IFERROR(__xludf.DUMMYFUNCTION("QUERY($B$11:$H$42,""select B where F&lt;&gt;0 Order By F desc"")"),"Kab. Wonogiri")</f>
        <v>Kab. Wonogiri</v>
      </c>
      <c r="N11" s="38">
        <f ca="1">IFERROR(__xludf.DUMMYFUNCTION("QUERY($B$11:$H$42,""select F where F&lt;&gt;0 Order By F desc"")"),4157)</f>
        <v>4157</v>
      </c>
      <c r="O11" s="32" t="str">
        <f ca="1">IFERROR(__xludf.DUMMYFUNCTION("QUERY($B$11:$H$42,""select B where G&lt;&gt;0 Order By G desc"")"),"Kab. Banyumas")</f>
        <v>Kab. Banyumas</v>
      </c>
      <c r="P11" s="38">
        <f ca="1">IFERROR(__xludf.DUMMYFUNCTION("QUERY($B$11:$H$42,""select G where G&lt;&gt;0 Order By G desc"")"),594.76)</f>
        <v>594.76</v>
      </c>
      <c r="Q11" s="4"/>
      <c r="R11" s="4"/>
      <c r="S11" s="4"/>
      <c r="T11" s="4"/>
      <c r="U11" s="4"/>
      <c r="V11" s="4"/>
      <c r="W11" s="39"/>
      <c r="X11" s="40" t="str">
        <f t="shared" ref="X11:X42" si="3">IF(ISNUMBER(SEARCH("Kab. ",B11)),RIGHT(B11,LEN(B11)-FIND(" ",B11)),B11)</f>
        <v>Cilacap</v>
      </c>
      <c r="Y11" s="4"/>
      <c r="Z11" s="30"/>
      <c r="AA11" s="30"/>
    </row>
    <row r="12" spans="1:27" ht="17.25" customHeight="1">
      <c r="A12" s="41">
        <v>2</v>
      </c>
      <c r="B12" s="42" t="s">
        <v>23</v>
      </c>
      <c r="C12" s="43">
        <v>244.82</v>
      </c>
      <c r="D12" s="43">
        <v>1297.4000000000001</v>
      </c>
      <c r="E12" s="43">
        <v>56.86</v>
      </c>
      <c r="F12" s="43">
        <f t="shared" si="0"/>
        <v>1599.08</v>
      </c>
      <c r="G12" s="44">
        <v>594.76</v>
      </c>
      <c r="H12" s="45">
        <f t="shared" si="1"/>
        <v>458.42454139047322</v>
      </c>
      <c r="I12" s="45">
        <v>4942</v>
      </c>
      <c r="J12" s="46">
        <f t="shared" si="2"/>
        <v>0.32356940509915011</v>
      </c>
      <c r="K12" s="3"/>
      <c r="L12" s="3"/>
      <c r="M12" s="42" t="str">
        <f ca="1">IFERROR(__xludf.DUMMYFUNCTION("""COMPUTED_VALUE"""),"Kab. Cilacap")</f>
        <v>Kab. Cilacap</v>
      </c>
      <c r="N12" s="47">
        <f ca="1">IFERROR(__xludf.DUMMYFUNCTION("""COMPUTED_VALUE"""),2839.72)</f>
        <v>2839.72</v>
      </c>
      <c r="O12" s="42" t="str">
        <f ca="1">IFERROR(__xludf.DUMMYFUNCTION("""COMPUTED_VALUE"""),"Kab. Wonogiri")</f>
        <v>Kab. Wonogiri</v>
      </c>
      <c r="P12" s="47">
        <f ca="1">IFERROR(__xludf.DUMMYFUNCTION("""COMPUTED_VALUE"""),565.7)</f>
        <v>565.70000000000005</v>
      </c>
      <c r="Q12" s="48"/>
      <c r="R12" s="48"/>
      <c r="S12" s="48"/>
      <c r="T12" s="48"/>
      <c r="U12" s="48"/>
      <c r="V12" s="48"/>
      <c r="W12" s="49"/>
      <c r="X12" s="40" t="str">
        <f t="shared" si="3"/>
        <v>Banyumas</v>
      </c>
      <c r="Y12" s="48"/>
      <c r="Z12" s="30"/>
      <c r="AA12" s="30"/>
    </row>
    <row r="13" spans="1:27" ht="17.25" customHeight="1">
      <c r="A13" s="41">
        <v>3</v>
      </c>
      <c r="B13" s="42" t="s">
        <v>24</v>
      </c>
      <c r="C13" s="43">
        <v>335.37</v>
      </c>
      <c r="D13" s="43">
        <v>546.04</v>
      </c>
      <c r="E13" s="43">
        <v>124.66</v>
      </c>
      <c r="F13" s="43">
        <f t="shared" si="0"/>
        <v>1006.0699999999999</v>
      </c>
      <c r="G13" s="44">
        <v>27.43</v>
      </c>
      <c r="H13" s="45">
        <f t="shared" si="1"/>
        <v>50.234415061167681</v>
      </c>
      <c r="I13" s="45">
        <v>4036</v>
      </c>
      <c r="J13" s="46">
        <f t="shared" si="2"/>
        <v>0.24927403369672943</v>
      </c>
      <c r="K13" s="3"/>
      <c r="L13" s="3"/>
      <c r="M13" s="42" t="str">
        <f ca="1">IFERROR(__xludf.DUMMYFUNCTION("""COMPUTED_VALUE"""),"Kab. Pemalang")</f>
        <v>Kab. Pemalang</v>
      </c>
      <c r="N13" s="47">
        <f ca="1">IFERROR(__xludf.DUMMYFUNCTION("""COMPUTED_VALUE"""),2813.27999999999)</f>
        <v>2813.2799999999902</v>
      </c>
      <c r="O13" s="42" t="str">
        <f ca="1">IFERROR(__xludf.DUMMYFUNCTION("""COMPUTED_VALUE"""),"Kab. Cilacap")</f>
        <v>Kab. Cilacap</v>
      </c>
      <c r="P13" s="47">
        <f ca="1">IFERROR(__xludf.DUMMYFUNCTION("""COMPUTED_VALUE"""),472.45)</f>
        <v>472.45</v>
      </c>
      <c r="Q13" s="4"/>
      <c r="R13" s="4"/>
      <c r="S13" s="4"/>
      <c r="T13" s="4"/>
      <c r="U13" s="4"/>
      <c r="V13" s="4"/>
      <c r="W13" s="39"/>
      <c r="X13" s="40" t="str">
        <f t="shared" si="3"/>
        <v>Purbalingga</v>
      </c>
      <c r="Y13" s="4"/>
      <c r="Z13" s="30"/>
      <c r="AA13" s="30"/>
    </row>
    <row r="14" spans="1:27" ht="17.25" customHeight="1">
      <c r="A14" s="41">
        <v>4</v>
      </c>
      <c r="B14" s="42" t="s">
        <v>25</v>
      </c>
      <c r="C14" s="43">
        <v>141.26</v>
      </c>
      <c r="D14" s="43">
        <v>393.82</v>
      </c>
      <c r="E14" s="43">
        <v>84.8</v>
      </c>
      <c r="F14" s="43">
        <f t="shared" si="0"/>
        <v>619.87999999999988</v>
      </c>
      <c r="G14" s="44">
        <v>89.09</v>
      </c>
      <c r="H14" s="45">
        <f t="shared" si="1"/>
        <v>226.22010055355241</v>
      </c>
      <c r="I14" s="45">
        <v>3254</v>
      </c>
      <c r="J14" s="46">
        <f t="shared" si="2"/>
        <v>0.19049784880147508</v>
      </c>
      <c r="K14" s="3"/>
      <c r="L14" s="3"/>
      <c r="M14" s="42" t="str">
        <f ca="1">IFERROR(__xludf.DUMMYFUNCTION("""COMPUTED_VALUE"""),"Kab. Semarang")</f>
        <v>Kab. Semarang</v>
      </c>
      <c r="N14" s="47">
        <f ca="1">IFERROR(__xludf.DUMMYFUNCTION("""COMPUTED_VALUE"""),2667.36)</f>
        <v>2667.36</v>
      </c>
      <c r="O14" s="42" t="str">
        <f ca="1">IFERROR(__xludf.DUMMYFUNCTION("""COMPUTED_VALUE"""),"Kab. Pekalongan")</f>
        <v>Kab. Pekalongan</v>
      </c>
      <c r="P14" s="47">
        <f ca="1">IFERROR(__xludf.DUMMYFUNCTION("""COMPUTED_VALUE"""),458.88)</f>
        <v>458.88</v>
      </c>
      <c r="Q14" s="4"/>
      <c r="R14" s="4"/>
      <c r="S14" s="4"/>
      <c r="T14" s="4"/>
      <c r="U14" s="4"/>
      <c r="V14" s="4"/>
      <c r="W14" s="39"/>
      <c r="X14" s="40" t="str">
        <f t="shared" si="3"/>
        <v>Banjarnegara</v>
      </c>
      <c r="Y14" s="4"/>
      <c r="Z14" s="50"/>
      <c r="AA14" s="50"/>
    </row>
    <row r="15" spans="1:27" ht="17.25" customHeight="1">
      <c r="A15" s="41">
        <v>5</v>
      </c>
      <c r="B15" s="42" t="s">
        <v>26</v>
      </c>
      <c r="C15" s="51">
        <v>371.5</v>
      </c>
      <c r="D15" s="51">
        <v>429.5</v>
      </c>
      <c r="E15" s="51">
        <v>23.1</v>
      </c>
      <c r="F15" s="43">
        <f t="shared" si="0"/>
        <v>824.1</v>
      </c>
      <c r="G15" s="51">
        <v>159.91999999999999</v>
      </c>
      <c r="H15" s="45">
        <f t="shared" si="1"/>
        <v>372.33993015133876</v>
      </c>
      <c r="I15" s="52">
        <v>4849</v>
      </c>
      <c r="J15" s="46">
        <f t="shared" si="2"/>
        <v>0.16995256753969892</v>
      </c>
      <c r="K15" s="3"/>
      <c r="L15" s="3"/>
      <c r="M15" s="42" t="str">
        <f ca="1">IFERROR(__xludf.DUMMYFUNCTION("""COMPUTED_VALUE"""),"Kab. Purworejo")</f>
        <v>Kab. Purworejo</v>
      </c>
      <c r="N15" s="47">
        <f ca="1">IFERROR(__xludf.DUMMYFUNCTION("""COMPUTED_VALUE"""),2076.38)</f>
        <v>2076.38</v>
      </c>
      <c r="O15" s="42" t="str">
        <f ca="1">IFERROR(__xludf.DUMMYFUNCTION("""COMPUTED_VALUE"""),"Kab. Pati")</f>
        <v>Kab. Pati</v>
      </c>
      <c r="P15" s="47">
        <f ca="1">IFERROR(__xludf.DUMMYFUNCTION("""COMPUTED_VALUE"""),402.21)</f>
        <v>402.21</v>
      </c>
      <c r="Q15" s="4"/>
      <c r="R15" s="4"/>
      <c r="S15" s="4"/>
      <c r="T15" s="4"/>
      <c r="U15" s="4"/>
      <c r="V15" s="4"/>
      <c r="W15" s="39"/>
      <c r="X15" s="40" t="str">
        <f t="shared" si="3"/>
        <v>Kebumen</v>
      </c>
      <c r="Y15" s="4"/>
      <c r="Z15" s="50"/>
      <c r="AA15" s="50"/>
    </row>
    <row r="16" spans="1:27" ht="17.25" customHeight="1">
      <c r="A16" s="41">
        <v>6</v>
      </c>
      <c r="B16" s="42" t="s">
        <v>27</v>
      </c>
      <c r="C16" s="51">
        <v>554.77</v>
      </c>
      <c r="D16" s="51">
        <v>1345.16</v>
      </c>
      <c r="E16" s="51">
        <v>176.45</v>
      </c>
      <c r="F16" s="43">
        <f t="shared" si="0"/>
        <v>2076.38</v>
      </c>
      <c r="G16" s="51">
        <v>349.95</v>
      </c>
      <c r="H16" s="45">
        <f t="shared" si="1"/>
        <v>260.15492580808228</v>
      </c>
      <c r="I16" s="52">
        <v>10816</v>
      </c>
      <c r="J16" s="46">
        <f t="shared" si="2"/>
        <v>0.19197300295857989</v>
      </c>
      <c r="K16" s="3"/>
      <c r="L16" s="3"/>
      <c r="M16" s="42" t="str">
        <f ca="1">IFERROR(__xludf.DUMMYFUNCTION("""COMPUTED_VALUE"""),"Kab. Batang")</f>
        <v>Kab. Batang</v>
      </c>
      <c r="N16" s="47">
        <f ca="1">IFERROR(__xludf.DUMMYFUNCTION("""COMPUTED_VALUE"""),1962.48999999999)</f>
        <v>1962.48999999999</v>
      </c>
      <c r="O16" s="42" t="str">
        <f ca="1">IFERROR(__xludf.DUMMYFUNCTION("""COMPUTED_VALUE"""),"Kab. Purworejo")</f>
        <v>Kab. Purworejo</v>
      </c>
      <c r="P16" s="47">
        <f ca="1">IFERROR(__xludf.DUMMYFUNCTION("""COMPUTED_VALUE"""),349.95)</f>
        <v>349.95</v>
      </c>
      <c r="Q16" s="53"/>
      <c r="R16" s="53"/>
      <c r="S16" s="4"/>
      <c r="T16" s="4"/>
      <c r="U16" s="4"/>
      <c r="V16" s="48"/>
      <c r="W16" s="48"/>
      <c r="X16" s="40" t="str">
        <f t="shared" si="3"/>
        <v>Purworejo</v>
      </c>
      <c r="Y16" s="4"/>
      <c r="Z16" s="30"/>
      <c r="AA16" s="30"/>
    </row>
    <row r="17" spans="1:27" ht="17.25" customHeight="1">
      <c r="A17" s="41">
        <v>7</v>
      </c>
      <c r="B17" s="42" t="s">
        <v>28</v>
      </c>
      <c r="C17" s="43">
        <v>5.63</v>
      </c>
      <c r="D17" s="43">
        <v>114.56</v>
      </c>
      <c r="E17" s="43">
        <v>30.59</v>
      </c>
      <c r="F17" s="43">
        <f t="shared" si="0"/>
        <v>150.78</v>
      </c>
      <c r="G17" s="44">
        <v>17.29</v>
      </c>
      <c r="H17" s="45">
        <f t="shared" si="1"/>
        <v>150.92527932960891</v>
      </c>
      <c r="I17" s="45">
        <v>3435</v>
      </c>
      <c r="J17" s="46">
        <f t="shared" si="2"/>
        <v>4.3895196506550216E-2</v>
      </c>
      <c r="K17" s="3"/>
      <c r="L17" s="3"/>
      <c r="M17" s="42" t="str">
        <f ca="1">IFERROR(__xludf.DUMMYFUNCTION("""COMPUTED_VALUE"""),"Kab. Banyumas")</f>
        <v>Kab. Banyumas</v>
      </c>
      <c r="N17" s="47">
        <f ca="1">IFERROR(__xludf.DUMMYFUNCTION("""COMPUTED_VALUE"""),1599.08)</f>
        <v>1599.08</v>
      </c>
      <c r="O17" s="42" t="str">
        <f ca="1">IFERROR(__xludf.DUMMYFUNCTION("""COMPUTED_VALUE"""),"Kab. Batang")</f>
        <v>Kab. Batang</v>
      </c>
      <c r="P17" s="47">
        <f ca="1">IFERROR(__xludf.DUMMYFUNCTION("""COMPUTED_VALUE"""),343.39)</f>
        <v>343.39</v>
      </c>
      <c r="Q17" s="48"/>
      <c r="R17" s="48"/>
      <c r="S17" s="48"/>
      <c r="T17" s="48"/>
      <c r="U17" s="48"/>
      <c r="V17" s="54"/>
      <c r="W17" s="49"/>
      <c r="X17" s="40" t="str">
        <f t="shared" si="3"/>
        <v>Wonosobo</v>
      </c>
      <c r="Y17" s="48"/>
      <c r="Z17" s="30"/>
      <c r="AA17" s="30"/>
    </row>
    <row r="18" spans="1:27" ht="17.25" customHeight="1">
      <c r="A18" s="41">
        <v>8</v>
      </c>
      <c r="B18" s="42" t="s">
        <v>29</v>
      </c>
      <c r="C18" s="43">
        <v>466.5</v>
      </c>
      <c r="D18" s="43">
        <v>497.6</v>
      </c>
      <c r="E18" s="43">
        <v>390.8</v>
      </c>
      <c r="F18" s="43">
        <f t="shared" si="0"/>
        <v>1354.9</v>
      </c>
      <c r="G18" s="44">
        <v>187.01</v>
      </c>
      <c r="H18" s="45">
        <f t="shared" si="1"/>
        <v>375.82395498392282</v>
      </c>
      <c r="I18" s="45">
        <v>11518</v>
      </c>
      <c r="J18" s="46">
        <f t="shared" si="2"/>
        <v>0.11763326966487238</v>
      </c>
      <c r="K18" s="55" t="s">
        <v>30</v>
      </c>
      <c r="L18" s="55" t="s">
        <v>31</v>
      </c>
      <c r="M18" s="42" t="str">
        <f ca="1">IFERROR(__xludf.DUMMYFUNCTION("""COMPUTED_VALUE"""),"Kab. Tegal")</f>
        <v>Kab. Tegal</v>
      </c>
      <c r="N18" s="47">
        <f ca="1">IFERROR(__xludf.DUMMYFUNCTION("""COMPUTED_VALUE"""),1564.19)</f>
        <v>1564.19</v>
      </c>
      <c r="O18" s="42" t="str">
        <f ca="1">IFERROR(__xludf.DUMMYFUNCTION("""COMPUTED_VALUE"""),"Kab. Boyolali")</f>
        <v>Kab. Boyolali</v>
      </c>
      <c r="P18" s="47">
        <f ca="1">IFERROR(__xludf.DUMMYFUNCTION("""COMPUTED_VALUE"""),251.79)</f>
        <v>251.79</v>
      </c>
      <c r="Q18" s="4"/>
      <c r="R18" s="4"/>
      <c r="S18" s="4"/>
      <c r="T18" s="48"/>
      <c r="U18" s="4"/>
      <c r="V18" s="4"/>
      <c r="W18" s="49"/>
      <c r="X18" s="40" t="str">
        <f t="shared" si="3"/>
        <v>Magelang</v>
      </c>
      <c r="Y18" s="48"/>
      <c r="Z18" s="30"/>
      <c r="AA18" s="30"/>
    </row>
    <row r="19" spans="1:27" ht="17.25" customHeight="1">
      <c r="A19" s="41">
        <v>9</v>
      </c>
      <c r="B19" s="42" t="s">
        <v>32</v>
      </c>
      <c r="C19" s="43">
        <v>333.85</v>
      </c>
      <c r="D19" s="43">
        <v>634.57000000000005</v>
      </c>
      <c r="E19" s="43">
        <v>92.19</v>
      </c>
      <c r="F19" s="43">
        <f t="shared" si="0"/>
        <v>1060.6100000000001</v>
      </c>
      <c r="G19" s="44">
        <v>251.79</v>
      </c>
      <c r="H19" s="45">
        <f t="shared" si="1"/>
        <v>396.78837638085628</v>
      </c>
      <c r="I19" s="45">
        <v>3099</v>
      </c>
      <c r="J19" s="46">
        <f t="shared" si="2"/>
        <v>0.34224265892223305</v>
      </c>
      <c r="K19" s="55"/>
      <c r="L19" s="55"/>
      <c r="M19" s="42" t="str">
        <f ca="1">IFERROR(__xludf.DUMMYFUNCTION("""COMPUTED_VALUE"""),"Kab. Pekalongan")</f>
        <v>Kab. Pekalongan</v>
      </c>
      <c r="N19" s="47">
        <f ca="1">IFERROR(__xludf.DUMMYFUNCTION("""COMPUTED_VALUE"""),1562.46)</f>
        <v>1562.46</v>
      </c>
      <c r="O19" s="42" t="str">
        <f ca="1">IFERROR(__xludf.DUMMYFUNCTION("""COMPUTED_VALUE"""),"Kab. Kendal")</f>
        <v>Kab. Kendal</v>
      </c>
      <c r="P19" s="47">
        <f ca="1">IFERROR(__xludf.DUMMYFUNCTION("""COMPUTED_VALUE"""),250.08)</f>
        <v>250.08</v>
      </c>
      <c r="Q19" s="48"/>
      <c r="R19" s="48"/>
      <c r="S19" s="48"/>
      <c r="T19" s="48"/>
      <c r="U19" s="48"/>
      <c r="V19" s="48"/>
      <c r="W19" s="49"/>
      <c r="X19" s="40" t="str">
        <f t="shared" si="3"/>
        <v>Boyolali</v>
      </c>
      <c r="Y19" s="48"/>
      <c r="Z19" s="50"/>
      <c r="AA19" s="50"/>
    </row>
    <row r="20" spans="1:27" ht="17.25" customHeight="1">
      <c r="A20" s="41">
        <v>10</v>
      </c>
      <c r="B20" s="42" t="s">
        <v>33</v>
      </c>
      <c r="C20" s="43">
        <v>33.25</v>
      </c>
      <c r="D20" s="43">
        <v>377.07</v>
      </c>
      <c r="E20" s="43">
        <v>202.5</v>
      </c>
      <c r="F20" s="43">
        <f t="shared" si="0"/>
        <v>612.81999999999994</v>
      </c>
      <c r="G20" s="44">
        <v>122.2</v>
      </c>
      <c r="H20" s="45">
        <f t="shared" si="1"/>
        <v>324.07775744556716</v>
      </c>
      <c r="I20" s="45">
        <v>8000</v>
      </c>
      <c r="J20" s="46">
        <f t="shared" si="2"/>
        <v>7.660249999999999E-2</v>
      </c>
      <c r="K20" s="55" t="s">
        <v>30</v>
      </c>
      <c r="L20" s="55" t="s">
        <v>31</v>
      </c>
      <c r="M20" s="42" t="str">
        <f ca="1">IFERROR(__xludf.DUMMYFUNCTION("""COMPUTED_VALUE"""),"Kab. Pati")</f>
        <v>Kab. Pati</v>
      </c>
      <c r="N20" s="47">
        <f ca="1">IFERROR(__xludf.DUMMYFUNCTION("""COMPUTED_VALUE"""),1494.44999999999)</f>
        <v>1494.44999999999</v>
      </c>
      <c r="O20" s="42" t="str">
        <f ca="1">IFERROR(__xludf.DUMMYFUNCTION("""COMPUTED_VALUE"""),"Kab. Magelang")</f>
        <v>Kab. Magelang</v>
      </c>
      <c r="P20" s="47">
        <f ca="1">IFERROR(__xludf.DUMMYFUNCTION("""COMPUTED_VALUE"""),187.01)</f>
        <v>187.01</v>
      </c>
      <c r="Q20" s="4"/>
      <c r="R20" s="30"/>
      <c r="S20" s="30"/>
      <c r="T20" s="4"/>
      <c r="U20" s="4"/>
      <c r="V20" s="56"/>
      <c r="W20" s="57"/>
      <c r="X20" s="40" t="str">
        <f t="shared" si="3"/>
        <v>Klaten</v>
      </c>
      <c r="Y20" s="4"/>
      <c r="Z20" s="30"/>
      <c r="AA20" s="30"/>
    </row>
    <row r="21" spans="1:27" ht="17.25" customHeight="1">
      <c r="A21" s="41">
        <v>11</v>
      </c>
      <c r="B21" s="42" t="s">
        <v>34</v>
      </c>
      <c r="C21" s="43">
        <v>3.43</v>
      </c>
      <c r="D21" s="43">
        <v>2.63</v>
      </c>
      <c r="E21" s="43">
        <v>0.6</v>
      </c>
      <c r="F21" s="43">
        <f t="shared" si="0"/>
        <v>6.66</v>
      </c>
      <c r="G21" s="44">
        <v>0.84</v>
      </c>
      <c r="H21" s="45">
        <f t="shared" si="1"/>
        <v>319.39163498098861</v>
      </c>
      <c r="I21" s="45">
        <v>30</v>
      </c>
      <c r="J21" s="46">
        <f t="shared" si="2"/>
        <v>0.222</v>
      </c>
      <c r="K21" s="58"/>
      <c r="L21" s="58"/>
      <c r="M21" s="42" t="str">
        <f ca="1">IFERROR(__xludf.DUMMYFUNCTION("""COMPUTED_VALUE"""),"Kab. Magelang")</f>
        <v>Kab. Magelang</v>
      </c>
      <c r="N21" s="47">
        <f ca="1">IFERROR(__xludf.DUMMYFUNCTION("""COMPUTED_VALUE"""),1354.9)</f>
        <v>1354.9</v>
      </c>
      <c r="O21" s="42" t="str">
        <f ca="1">IFERROR(__xludf.DUMMYFUNCTION("""COMPUTED_VALUE"""),"Kab. Semarang")</f>
        <v>Kab. Semarang</v>
      </c>
      <c r="P21" s="47">
        <f ca="1">IFERROR(__xludf.DUMMYFUNCTION("""COMPUTED_VALUE"""),169.99)</f>
        <v>169.99</v>
      </c>
      <c r="Q21" s="48"/>
      <c r="R21" s="50"/>
      <c r="S21" s="50"/>
      <c r="T21" s="50"/>
      <c r="U21" s="4"/>
      <c r="V21" s="54"/>
      <c r="W21" s="39"/>
      <c r="X21" s="40" t="str">
        <f t="shared" si="3"/>
        <v>Sukoharjo</v>
      </c>
      <c r="Y21" s="4"/>
      <c r="Z21" s="50"/>
      <c r="AA21" s="50"/>
    </row>
    <row r="22" spans="1:27" ht="17.25" customHeight="1">
      <c r="A22" s="41">
        <v>12</v>
      </c>
      <c r="B22" s="42" t="s">
        <v>35</v>
      </c>
      <c r="C22" s="43">
        <v>635</v>
      </c>
      <c r="D22" s="43">
        <v>2872</v>
      </c>
      <c r="E22" s="43">
        <v>650</v>
      </c>
      <c r="F22" s="43">
        <f t="shared" si="0"/>
        <v>4157</v>
      </c>
      <c r="G22" s="44">
        <v>565.70000000000005</v>
      </c>
      <c r="H22" s="45">
        <f t="shared" si="1"/>
        <v>196.97075208913651</v>
      </c>
      <c r="I22" s="45">
        <v>16450</v>
      </c>
      <c r="J22" s="46">
        <f t="shared" si="2"/>
        <v>0.25270516717325225</v>
      </c>
      <c r="K22" s="55"/>
      <c r="L22" s="55"/>
      <c r="M22" s="42" t="str">
        <f ca="1">IFERROR(__xludf.DUMMYFUNCTION("""COMPUTED_VALUE"""),"Kab. Boyolali")</f>
        <v>Kab. Boyolali</v>
      </c>
      <c r="N22" s="47">
        <f ca="1">IFERROR(__xludf.DUMMYFUNCTION("""COMPUTED_VALUE"""),1060.61)</f>
        <v>1060.6099999999999</v>
      </c>
      <c r="O22" s="42" t="str">
        <f ca="1">IFERROR(__xludf.DUMMYFUNCTION("""COMPUTED_VALUE"""),"Kab. Kebumen")</f>
        <v>Kab. Kebumen</v>
      </c>
      <c r="P22" s="47">
        <f ca="1">IFERROR(__xludf.DUMMYFUNCTION("""COMPUTED_VALUE"""),159.92)</f>
        <v>159.91999999999999</v>
      </c>
      <c r="Q22" s="4"/>
      <c r="R22" s="4"/>
      <c r="S22" s="4"/>
      <c r="T22" s="4"/>
      <c r="U22" s="4"/>
      <c r="V22" s="4"/>
      <c r="W22" s="39"/>
      <c r="X22" s="40" t="str">
        <f t="shared" si="3"/>
        <v>Wonogiri</v>
      </c>
      <c r="Y22" s="4"/>
      <c r="Z22" s="30"/>
      <c r="AA22" s="30"/>
    </row>
    <row r="23" spans="1:27" ht="17.25" customHeight="1">
      <c r="A23" s="41">
        <v>13</v>
      </c>
      <c r="B23" s="42" t="s">
        <v>36</v>
      </c>
      <c r="C23" s="43">
        <v>199.48</v>
      </c>
      <c r="D23" s="43">
        <v>350.99</v>
      </c>
      <c r="E23" s="43">
        <v>99.18</v>
      </c>
      <c r="F23" s="43">
        <f t="shared" si="0"/>
        <v>649.65000000000009</v>
      </c>
      <c r="G23" s="44">
        <v>59.08</v>
      </c>
      <c r="H23" s="45">
        <f t="shared" si="1"/>
        <v>168.32388387133534</v>
      </c>
      <c r="I23" s="45">
        <v>2261</v>
      </c>
      <c r="J23" s="46">
        <f t="shared" si="2"/>
        <v>0.28732861565678908</v>
      </c>
      <c r="K23" s="55"/>
      <c r="L23" s="55"/>
      <c r="M23" s="42" t="str">
        <f ca="1">IFERROR(__xludf.DUMMYFUNCTION("""COMPUTED_VALUE"""),"Kab. Purbalingga")</f>
        <v>Kab. Purbalingga</v>
      </c>
      <c r="N23" s="47">
        <f ca="1">IFERROR(__xludf.DUMMYFUNCTION("""COMPUTED_VALUE"""),1006.06999999999)</f>
        <v>1006.06999999999</v>
      </c>
      <c r="O23" s="42" t="str">
        <f ca="1">IFERROR(__xludf.DUMMYFUNCTION("""COMPUTED_VALUE"""),"Kab. Brebes")</f>
        <v>Kab. Brebes</v>
      </c>
      <c r="P23" s="47">
        <f ca="1">IFERROR(__xludf.DUMMYFUNCTION("""COMPUTED_VALUE"""),158.14)</f>
        <v>158.13999999999999</v>
      </c>
      <c r="Q23" s="48"/>
      <c r="R23" s="48"/>
      <c r="S23" s="48"/>
      <c r="T23" s="48"/>
      <c r="U23" s="48"/>
      <c r="V23" s="48"/>
      <c r="W23" s="49"/>
      <c r="X23" s="40" t="str">
        <f t="shared" si="3"/>
        <v>Karanganyar</v>
      </c>
      <c r="Y23" s="48"/>
      <c r="Z23" s="50"/>
      <c r="AA23" s="50"/>
    </row>
    <row r="24" spans="1:27" ht="17.25" customHeight="1">
      <c r="A24" s="41">
        <v>14</v>
      </c>
      <c r="B24" s="42" t="s">
        <v>37</v>
      </c>
      <c r="C24" s="43">
        <v>90.5</v>
      </c>
      <c r="D24" s="43">
        <v>308</v>
      </c>
      <c r="E24" s="43">
        <v>30.5</v>
      </c>
      <c r="F24" s="43">
        <f t="shared" si="0"/>
        <v>429</v>
      </c>
      <c r="G24" s="44">
        <v>63.29</v>
      </c>
      <c r="H24" s="45">
        <f t="shared" si="1"/>
        <v>205.487012987013</v>
      </c>
      <c r="I24" s="45">
        <v>673</v>
      </c>
      <c r="J24" s="46">
        <f t="shared" si="2"/>
        <v>0.63744427934621095</v>
      </c>
      <c r="K24" s="55"/>
      <c r="L24" s="55"/>
      <c r="M24" s="42" t="str">
        <f ca="1">IFERROR(__xludf.DUMMYFUNCTION("""COMPUTED_VALUE"""),"Kab. Kebumen")</f>
        <v>Kab. Kebumen</v>
      </c>
      <c r="N24" s="47">
        <f ca="1">IFERROR(__xludf.DUMMYFUNCTION("""COMPUTED_VALUE"""),824.1)</f>
        <v>824.1</v>
      </c>
      <c r="O24" s="42" t="str">
        <f ca="1">IFERROR(__xludf.DUMMYFUNCTION("""COMPUTED_VALUE"""),"Kab. Pemalang")</f>
        <v>Kab. Pemalang</v>
      </c>
      <c r="P24" s="47">
        <f ca="1">IFERROR(__xludf.DUMMYFUNCTION("""COMPUTED_VALUE"""),133.15)</f>
        <v>133.15</v>
      </c>
      <c r="Q24" s="48"/>
      <c r="R24" s="48"/>
      <c r="S24" s="48"/>
      <c r="T24" s="48"/>
      <c r="U24" s="48"/>
      <c r="V24" s="48"/>
      <c r="W24" s="49"/>
      <c r="X24" s="40" t="str">
        <f t="shared" si="3"/>
        <v>Sragen</v>
      </c>
      <c r="Y24" s="48"/>
      <c r="Z24" s="50"/>
      <c r="AA24" s="50"/>
    </row>
    <row r="25" spans="1:27" ht="17.25" customHeight="1">
      <c r="A25" s="41">
        <v>15</v>
      </c>
      <c r="B25" s="42" t="s">
        <v>38</v>
      </c>
      <c r="C25" s="43">
        <v>0</v>
      </c>
      <c r="D25" s="43">
        <v>0</v>
      </c>
      <c r="E25" s="43">
        <v>0</v>
      </c>
      <c r="F25" s="43">
        <f t="shared" si="0"/>
        <v>0</v>
      </c>
      <c r="G25" s="44">
        <v>0</v>
      </c>
      <c r="H25" s="45">
        <f t="shared" si="1"/>
        <v>0</v>
      </c>
      <c r="I25" s="45">
        <v>0</v>
      </c>
      <c r="J25" s="46">
        <f t="shared" si="2"/>
        <v>0</v>
      </c>
      <c r="K25" s="55"/>
      <c r="L25" s="55"/>
      <c r="M25" s="42" t="str">
        <f ca="1">IFERROR(__xludf.DUMMYFUNCTION("""COMPUTED_VALUE"""),"Kab. Karanganyar")</f>
        <v>Kab. Karanganyar</v>
      </c>
      <c r="N25" s="47">
        <f ca="1">IFERROR(__xludf.DUMMYFUNCTION("""COMPUTED_VALUE"""),649.65)</f>
        <v>649.65</v>
      </c>
      <c r="O25" s="42" t="str">
        <f ca="1">IFERROR(__xludf.DUMMYFUNCTION("""COMPUTED_VALUE"""),"Kab. Klaten")</f>
        <v>Kab. Klaten</v>
      </c>
      <c r="P25" s="47">
        <f ca="1">IFERROR(__xludf.DUMMYFUNCTION("""COMPUTED_VALUE"""),122.2)</f>
        <v>122.2</v>
      </c>
      <c r="Q25" s="4"/>
      <c r="R25" s="4"/>
      <c r="S25" s="4"/>
      <c r="T25" s="4"/>
      <c r="U25" s="4"/>
      <c r="V25" s="4"/>
      <c r="W25" s="39"/>
      <c r="X25" s="40" t="str">
        <f t="shared" si="3"/>
        <v>Grobogan</v>
      </c>
      <c r="Y25" s="4"/>
      <c r="Z25" s="50"/>
      <c r="AA25" s="50"/>
    </row>
    <row r="26" spans="1:27" ht="17.25" customHeight="1">
      <c r="A26" s="41">
        <v>16</v>
      </c>
      <c r="B26" s="42" t="s">
        <v>39</v>
      </c>
      <c r="C26" s="43">
        <v>0</v>
      </c>
      <c r="D26" s="43">
        <v>0</v>
      </c>
      <c r="E26" s="43">
        <v>0</v>
      </c>
      <c r="F26" s="43">
        <f t="shared" si="0"/>
        <v>0</v>
      </c>
      <c r="G26" s="44">
        <v>0</v>
      </c>
      <c r="H26" s="45">
        <f t="shared" si="1"/>
        <v>0</v>
      </c>
      <c r="I26" s="45">
        <v>0</v>
      </c>
      <c r="J26" s="46">
        <f t="shared" si="2"/>
        <v>0</v>
      </c>
      <c r="K26" s="55"/>
      <c r="L26" s="55"/>
      <c r="M26" s="42" t="str">
        <f ca="1">IFERROR(__xludf.DUMMYFUNCTION("""COMPUTED_VALUE"""),"Kab. Banjarnegara")</f>
        <v>Kab. Banjarnegara</v>
      </c>
      <c r="N26" s="47">
        <f ca="1">IFERROR(__xludf.DUMMYFUNCTION("""COMPUTED_VALUE"""),619.879999999999)</f>
        <v>619.87999999999897</v>
      </c>
      <c r="O26" s="42" t="str">
        <f ca="1">IFERROR(__xludf.DUMMYFUNCTION("""COMPUTED_VALUE"""),"Kab. Banjarnegara")</f>
        <v>Kab. Banjarnegara</v>
      </c>
      <c r="P26" s="47">
        <f ca="1">IFERROR(__xludf.DUMMYFUNCTION("""COMPUTED_VALUE"""),89.09)</f>
        <v>89.09</v>
      </c>
      <c r="Q26" s="48"/>
      <c r="R26" s="48"/>
      <c r="S26" s="48"/>
      <c r="T26" s="48"/>
      <c r="U26" s="48"/>
      <c r="V26" s="48"/>
      <c r="W26" s="49"/>
      <c r="X26" s="40" t="str">
        <f t="shared" si="3"/>
        <v>Blora</v>
      </c>
      <c r="Y26" s="48"/>
      <c r="Z26" s="30"/>
      <c r="AA26" s="30"/>
    </row>
    <row r="27" spans="1:27" ht="17.25" customHeight="1">
      <c r="A27" s="41">
        <v>17</v>
      </c>
      <c r="B27" s="42" t="s">
        <v>40</v>
      </c>
      <c r="C27" s="43">
        <v>49</v>
      </c>
      <c r="D27" s="43">
        <v>77</v>
      </c>
      <c r="E27" s="43">
        <v>39</v>
      </c>
      <c r="F27" s="43">
        <f t="shared" si="0"/>
        <v>165</v>
      </c>
      <c r="G27" s="44">
        <v>24.19</v>
      </c>
      <c r="H27" s="45">
        <f t="shared" si="1"/>
        <v>314.15584415584419</v>
      </c>
      <c r="I27" s="45">
        <v>928</v>
      </c>
      <c r="J27" s="46">
        <f t="shared" si="2"/>
        <v>0.17780172413793102</v>
      </c>
      <c r="K27" s="55"/>
      <c r="L27" s="55"/>
      <c r="M27" s="42" t="str">
        <f ca="1">IFERROR(__xludf.DUMMYFUNCTION("""COMPUTED_VALUE"""),"Kab. Klaten")</f>
        <v>Kab. Klaten</v>
      </c>
      <c r="N27" s="47">
        <f ca="1">IFERROR(__xludf.DUMMYFUNCTION("""COMPUTED_VALUE"""),612.819999999999)</f>
        <v>612.81999999999903</v>
      </c>
      <c r="O27" s="42" t="str">
        <f ca="1">IFERROR(__xludf.DUMMYFUNCTION("""COMPUTED_VALUE"""),"Kab. Kudus")</f>
        <v>Kab. Kudus</v>
      </c>
      <c r="P27" s="47">
        <f ca="1">IFERROR(__xludf.DUMMYFUNCTION("""COMPUTED_VALUE"""),74.42)</f>
        <v>74.42</v>
      </c>
      <c r="Q27" s="48"/>
      <c r="R27" s="50"/>
      <c r="S27" s="50"/>
      <c r="T27" s="50"/>
      <c r="U27" s="50"/>
      <c r="V27" s="48"/>
      <c r="W27" s="49"/>
      <c r="X27" s="40" t="str">
        <f t="shared" si="3"/>
        <v>Rembang</v>
      </c>
      <c r="Y27" s="48"/>
      <c r="Z27" s="30"/>
      <c r="AA27" s="30"/>
    </row>
    <row r="28" spans="1:27" ht="17.25" customHeight="1">
      <c r="A28" s="59">
        <v>18</v>
      </c>
      <c r="B28" s="60" t="s">
        <v>41</v>
      </c>
      <c r="C28" s="43">
        <v>249.53</v>
      </c>
      <c r="D28" s="43">
        <v>1035.8699999999999</v>
      </c>
      <c r="E28" s="43">
        <v>209.05</v>
      </c>
      <c r="F28" s="43">
        <f t="shared" si="0"/>
        <v>1494.4499999999998</v>
      </c>
      <c r="G28" s="44">
        <v>402.21</v>
      </c>
      <c r="H28" s="45">
        <f t="shared" si="1"/>
        <v>388.28231341770686</v>
      </c>
      <c r="I28" s="45">
        <v>9035</v>
      </c>
      <c r="J28" s="46">
        <f t="shared" si="2"/>
        <v>0.16540675152185941</v>
      </c>
      <c r="K28" s="55"/>
      <c r="L28" s="55"/>
      <c r="M28" s="42" t="str">
        <f ca="1">IFERROR(__xludf.DUMMYFUNCTION("""COMPUTED_VALUE"""),"Kab. Kendal")</f>
        <v>Kab. Kendal</v>
      </c>
      <c r="N28" s="47">
        <f ca="1">IFERROR(__xludf.DUMMYFUNCTION("""COMPUTED_VALUE"""),594.01)</f>
        <v>594.01</v>
      </c>
      <c r="O28" s="42" t="str">
        <f ca="1">IFERROR(__xludf.DUMMYFUNCTION("""COMPUTED_VALUE"""),"Kab. Jepara")</f>
        <v>Kab. Jepara</v>
      </c>
      <c r="P28" s="47">
        <f ca="1">IFERROR(__xludf.DUMMYFUNCTION("""COMPUTED_VALUE"""),70.94)</f>
        <v>70.94</v>
      </c>
      <c r="Q28" s="48"/>
      <c r="R28" s="48"/>
      <c r="S28" s="48"/>
      <c r="T28" s="48"/>
      <c r="U28" s="48"/>
      <c r="V28" s="53"/>
      <c r="W28" s="61"/>
      <c r="X28" s="40" t="str">
        <f t="shared" si="3"/>
        <v>Pati</v>
      </c>
      <c r="Y28" s="48"/>
      <c r="Z28" s="30"/>
      <c r="AA28" s="30"/>
    </row>
    <row r="29" spans="1:27" ht="17.25" customHeight="1">
      <c r="A29" s="59">
        <v>19</v>
      </c>
      <c r="B29" s="60" t="s">
        <v>42</v>
      </c>
      <c r="C29" s="43">
        <v>39.1</v>
      </c>
      <c r="D29" s="43">
        <v>271.5</v>
      </c>
      <c r="E29" s="43">
        <v>8</v>
      </c>
      <c r="F29" s="43">
        <f t="shared" si="0"/>
        <v>318.60000000000002</v>
      </c>
      <c r="G29" s="44">
        <v>74.42</v>
      </c>
      <c r="H29" s="45">
        <f t="shared" si="1"/>
        <v>274.10681399631676</v>
      </c>
      <c r="I29" s="45">
        <v>1200</v>
      </c>
      <c r="J29" s="46">
        <f t="shared" si="2"/>
        <v>0.26550000000000001</v>
      </c>
      <c r="K29" s="55"/>
      <c r="L29" s="55"/>
      <c r="M29" s="42" t="str">
        <f ca="1">IFERROR(__xludf.DUMMYFUNCTION("""COMPUTED_VALUE"""),"Kab. Brebes")</f>
        <v>Kab. Brebes</v>
      </c>
      <c r="N29" s="47">
        <f ca="1">IFERROR(__xludf.DUMMYFUNCTION("""COMPUTED_VALUE"""),576.7)</f>
        <v>576.70000000000005</v>
      </c>
      <c r="O29" s="42" t="str">
        <f ca="1">IFERROR(__xludf.DUMMYFUNCTION("""COMPUTED_VALUE"""),"Kab. Tegal")</f>
        <v>Kab. Tegal</v>
      </c>
      <c r="P29" s="47">
        <f ca="1">IFERROR(__xludf.DUMMYFUNCTION("""COMPUTED_VALUE"""),70.83)</f>
        <v>70.83</v>
      </c>
      <c r="Q29" s="4"/>
      <c r="R29" s="4"/>
      <c r="S29" s="4"/>
      <c r="T29" s="4"/>
      <c r="U29" s="4"/>
      <c r="V29" s="4"/>
      <c r="W29" s="39"/>
      <c r="X29" s="40" t="str">
        <f t="shared" si="3"/>
        <v>Kudus</v>
      </c>
      <c r="Y29" s="4"/>
      <c r="Z29" s="50"/>
      <c r="AA29" s="50"/>
    </row>
    <row r="30" spans="1:27" ht="17.25" customHeight="1">
      <c r="A30" s="59">
        <v>20</v>
      </c>
      <c r="B30" s="60" t="s">
        <v>43</v>
      </c>
      <c r="C30" s="43">
        <v>166.76</v>
      </c>
      <c r="D30" s="43">
        <v>314.47000000000003</v>
      </c>
      <c r="E30" s="43">
        <v>21.75</v>
      </c>
      <c r="F30" s="43">
        <f t="shared" si="0"/>
        <v>502.98</v>
      </c>
      <c r="G30" s="44">
        <v>70.94</v>
      </c>
      <c r="H30" s="45">
        <f t="shared" si="1"/>
        <v>225.58590644576586</v>
      </c>
      <c r="I30" s="45">
        <v>1173</v>
      </c>
      <c r="J30" s="46">
        <f t="shared" si="2"/>
        <v>0.4287979539641944</v>
      </c>
      <c r="K30" s="55"/>
      <c r="L30" s="55"/>
      <c r="M30" s="42" t="str">
        <f ca="1">IFERROR(__xludf.DUMMYFUNCTION("""COMPUTED_VALUE"""),"Kab. Jepara")</f>
        <v>Kab. Jepara</v>
      </c>
      <c r="N30" s="47">
        <f ca="1">IFERROR(__xludf.DUMMYFUNCTION("""COMPUTED_VALUE"""),502.98)</f>
        <v>502.98</v>
      </c>
      <c r="O30" s="42" t="str">
        <f ca="1">IFERROR(__xludf.DUMMYFUNCTION("""COMPUTED_VALUE"""),"Kab. Sragen")</f>
        <v>Kab. Sragen</v>
      </c>
      <c r="P30" s="47">
        <f ca="1">IFERROR(__xludf.DUMMYFUNCTION("""COMPUTED_VALUE"""),63.29)</f>
        <v>63.29</v>
      </c>
      <c r="Q30" s="48"/>
      <c r="R30" s="48"/>
      <c r="S30" s="48"/>
      <c r="T30" s="48"/>
      <c r="U30" s="48"/>
      <c r="V30" s="48"/>
      <c r="W30" s="49"/>
      <c r="X30" s="40" t="str">
        <f t="shared" si="3"/>
        <v>Jepara</v>
      </c>
      <c r="Y30" s="48"/>
      <c r="Z30" s="30"/>
      <c r="AA30" s="30"/>
    </row>
    <row r="31" spans="1:27" ht="17.25" customHeight="1">
      <c r="A31" s="59">
        <v>21</v>
      </c>
      <c r="B31" s="60" t="s">
        <v>44</v>
      </c>
      <c r="C31" s="51">
        <v>0</v>
      </c>
      <c r="D31" s="51">
        <v>0</v>
      </c>
      <c r="E31" s="51">
        <v>0</v>
      </c>
      <c r="F31" s="43">
        <f t="shared" si="0"/>
        <v>0</v>
      </c>
      <c r="G31" s="51">
        <v>0</v>
      </c>
      <c r="H31" s="51">
        <f t="shared" si="1"/>
        <v>0</v>
      </c>
      <c r="I31" s="51">
        <v>0</v>
      </c>
      <c r="J31" s="51">
        <f t="shared" si="2"/>
        <v>0</v>
      </c>
      <c r="K31" s="55"/>
      <c r="L31" s="55"/>
      <c r="M31" s="42" t="str">
        <f ca="1">IFERROR(__xludf.DUMMYFUNCTION("""COMPUTED_VALUE"""),"Kab. Sragen")</f>
        <v>Kab. Sragen</v>
      </c>
      <c r="N31" s="47">
        <f ca="1">IFERROR(__xludf.DUMMYFUNCTION("""COMPUTED_VALUE"""),429)</f>
        <v>429</v>
      </c>
      <c r="O31" s="42" t="str">
        <f ca="1">IFERROR(__xludf.DUMMYFUNCTION("""COMPUTED_VALUE"""),"Kab. Karanganyar")</f>
        <v>Kab. Karanganyar</v>
      </c>
      <c r="P31" s="47">
        <f ca="1">IFERROR(__xludf.DUMMYFUNCTION("""COMPUTED_VALUE"""),59.08)</f>
        <v>59.08</v>
      </c>
      <c r="Q31" s="4"/>
      <c r="R31" s="4"/>
      <c r="S31" s="4"/>
      <c r="T31" s="4"/>
      <c r="U31" s="4"/>
      <c r="V31" s="4"/>
      <c r="W31" s="39"/>
      <c r="X31" s="40" t="str">
        <f t="shared" si="3"/>
        <v>Demak</v>
      </c>
      <c r="Y31" s="4"/>
      <c r="Z31" s="50"/>
      <c r="AA31" s="50"/>
    </row>
    <row r="32" spans="1:27" ht="17.25" customHeight="1">
      <c r="A32" s="59">
        <v>22</v>
      </c>
      <c r="B32" s="60" t="s">
        <v>45</v>
      </c>
      <c r="C32" s="43">
        <v>763.86</v>
      </c>
      <c r="D32" s="43">
        <v>1492.75</v>
      </c>
      <c r="E32" s="43">
        <v>410.75</v>
      </c>
      <c r="F32" s="43">
        <f t="shared" si="0"/>
        <v>2667.36</v>
      </c>
      <c r="G32" s="44">
        <v>169.99</v>
      </c>
      <c r="H32" s="45">
        <f t="shared" si="1"/>
        <v>113.87707251716631</v>
      </c>
      <c r="I32" s="45">
        <v>11908</v>
      </c>
      <c r="J32" s="46">
        <f t="shared" si="2"/>
        <v>0.2239973127309372</v>
      </c>
      <c r="K32" s="55"/>
      <c r="L32" s="55"/>
      <c r="M32" s="42" t="str">
        <f ca="1">IFERROR(__xludf.DUMMYFUNCTION("""COMPUTED_VALUE"""),"Kab. Temanggung")</f>
        <v>Kab. Temanggung</v>
      </c>
      <c r="N32" s="47">
        <f ca="1">IFERROR(__xludf.DUMMYFUNCTION("""COMPUTED_VALUE"""),419.61)</f>
        <v>419.61</v>
      </c>
      <c r="O32" s="42" t="str">
        <f ca="1">IFERROR(__xludf.DUMMYFUNCTION("""COMPUTED_VALUE"""),"Kab. Temanggung")</f>
        <v>Kab. Temanggung</v>
      </c>
      <c r="P32" s="47">
        <f ca="1">IFERROR(__xludf.DUMMYFUNCTION("""COMPUTED_VALUE"""),54.75)</f>
        <v>54.75</v>
      </c>
      <c r="Q32" s="48"/>
      <c r="R32" s="48"/>
      <c r="S32" s="48"/>
      <c r="T32" s="48"/>
      <c r="U32" s="48"/>
      <c r="V32" s="48"/>
      <c r="W32" s="49"/>
      <c r="X32" s="40" t="str">
        <f t="shared" si="3"/>
        <v>Semarang</v>
      </c>
      <c r="Y32" s="48"/>
      <c r="Z32" s="50"/>
      <c r="AA32" s="50"/>
    </row>
    <row r="33" spans="1:27" ht="17.25" customHeight="1">
      <c r="A33" s="59">
        <v>23</v>
      </c>
      <c r="B33" s="60" t="s">
        <v>46</v>
      </c>
      <c r="C33" s="43">
        <v>91.01</v>
      </c>
      <c r="D33" s="43">
        <v>328.6</v>
      </c>
      <c r="E33" s="43">
        <v>0</v>
      </c>
      <c r="F33" s="43">
        <f t="shared" si="0"/>
        <v>419.61</v>
      </c>
      <c r="G33" s="44">
        <v>54.75</v>
      </c>
      <c r="H33" s="45">
        <f t="shared" si="1"/>
        <v>166.61594643944002</v>
      </c>
      <c r="I33" s="45">
        <v>3403</v>
      </c>
      <c r="J33" s="46">
        <f t="shared" si="2"/>
        <v>0.12330590655304144</v>
      </c>
      <c r="K33" s="55" t="s">
        <v>47</v>
      </c>
      <c r="L33" s="55" t="s">
        <v>48</v>
      </c>
      <c r="M33" s="42" t="str">
        <f ca="1">IFERROR(__xludf.DUMMYFUNCTION("""COMPUTED_VALUE"""),"Kab. Kudus")</f>
        <v>Kab. Kudus</v>
      </c>
      <c r="N33" s="47">
        <f ca="1">IFERROR(__xludf.DUMMYFUNCTION("""COMPUTED_VALUE"""),318.6)</f>
        <v>318.60000000000002</v>
      </c>
      <c r="O33" s="42" t="str">
        <f ca="1">IFERROR(__xludf.DUMMYFUNCTION("""COMPUTED_VALUE"""),"Kab. Purbalingga")</f>
        <v>Kab. Purbalingga</v>
      </c>
      <c r="P33" s="47">
        <f ca="1">IFERROR(__xludf.DUMMYFUNCTION("""COMPUTED_VALUE"""),27.43)</f>
        <v>27.43</v>
      </c>
      <c r="Q33" s="48"/>
      <c r="R33" s="62"/>
      <c r="S33" s="48"/>
      <c r="T33" s="48"/>
      <c r="U33" s="48"/>
      <c r="V33" s="48"/>
      <c r="W33" s="49"/>
      <c r="X33" s="40" t="str">
        <f t="shared" si="3"/>
        <v>Temanggung</v>
      </c>
      <c r="Y33" s="48"/>
      <c r="Z33" s="50"/>
      <c r="AA33" s="50"/>
    </row>
    <row r="34" spans="1:27" ht="17.25" customHeight="1">
      <c r="A34" s="59">
        <v>24</v>
      </c>
      <c r="B34" s="60" t="s">
        <v>49</v>
      </c>
      <c r="C34" s="43">
        <v>155.57</v>
      </c>
      <c r="D34" s="43">
        <v>405.97</v>
      </c>
      <c r="E34" s="43">
        <v>32.47</v>
      </c>
      <c r="F34" s="43">
        <f t="shared" si="0"/>
        <v>594.01</v>
      </c>
      <c r="G34" s="44">
        <v>250.08</v>
      </c>
      <c r="H34" s="45">
        <f t="shared" si="1"/>
        <v>616.0061088257753</v>
      </c>
      <c r="I34" s="45">
        <v>5606</v>
      </c>
      <c r="J34" s="46">
        <f t="shared" si="2"/>
        <v>0.10595968605066</v>
      </c>
      <c r="K34" s="55"/>
      <c r="L34" s="55"/>
      <c r="M34" s="42" t="str">
        <f ca="1">IFERROR(__xludf.DUMMYFUNCTION("""COMPUTED_VALUE"""),"Kab. Rembang")</f>
        <v>Kab. Rembang</v>
      </c>
      <c r="N34" s="47">
        <f ca="1">IFERROR(__xludf.DUMMYFUNCTION("""COMPUTED_VALUE"""),165)</f>
        <v>165</v>
      </c>
      <c r="O34" s="42" t="str">
        <f ca="1">IFERROR(__xludf.DUMMYFUNCTION("""COMPUTED_VALUE"""),"Kab. Rembang")</f>
        <v>Kab. Rembang</v>
      </c>
      <c r="P34" s="47">
        <f ca="1">IFERROR(__xludf.DUMMYFUNCTION("""COMPUTED_VALUE"""),24.19)</f>
        <v>24.19</v>
      </c>
      <c r="Q34" s="48"/>
      <c r="R34" s="48"/>
      <c r="S34" s="48"/>
      <c r="T34" s="48"/>
      <c r="U34" s="48"/>
      <c r="V34" s="48"/>
      <c r="W34" s="49"/>
      <c r="X34" s="40" t="str">
        <f t="shared" si="3"/>
        <v>Kendal</v>
      </c>
      <c r="Y34" s="48"/>
      <c r="Z34" s="30"/>
      <c r="AA34" s="30"/>
    </row>
    <row r="35" spans="1:27" ht="17.25" customHeight="1">
      <c r="A35" s="59">
        <v>25</v>
      </c>
      <c r="B35" s="60" t="s">
        <v>50</v>
      </c>
      <c r="C35" s="43">
        <v>265.82</v>
      </c>
      <c r="D35" s="43">
        <v>1609.1</v>
      </c>
      <c r="E35" s="43">
        <v>87.57</v>
      </c>
      <c r="F35" s="43">
        <f t="shared" si="0"/>
        <v>1962.4899999999998</v>
      </c>
      <c r="G35" s="44">
        <v>343.39</v>
      </c>
      <c r="H35" s="45">
        <f t="shared" si="1"/>
        <v>213.40500901124852</v>
      </c>
      <c r="I35" s="45">
        <v>12686</v>
      </c>
      <c r="J35" s="46">
        <f t="shared" si="2"/>
        <v>0.15469730411477217</v>
      </c>
      <c r="K35" s="55" t="s">
        <v>51</v>
      </c>
      <c r="L35" s="55" t="s">
        <v>31</v>
      </c>
      <c r="M35" s="42" t="str">
        <f ca="1">IFERROR(__xludf.DUMMYFUNCTION("""COMPUTED_VALUE"""),"Kab. Wonosobo")</f>
        <v>Kab. Wonosobo</v>
      </c>
      <c r="N35" s="47">
        <f ca="1">IFERROR(__xludf.DUMMYFUNCTION("""COMPUTED_VALUE"""),150.78)</f>
        <v>150.78</v>
      </c>
      <c r="O35" s="42" t="str">
        <f ca="1">IFERROR(__xludf.DUMMYFUNCTION("""COMPUTED_VALUE"""),"Kab. Wonosobo")</f>
        <v>Kab. Wonosobo</v>
      </c>
      <c r="P35" s="47">
        <f ca="1">IFERROR(__xludf.DUMMYFUNCTION("""COMPUTED_VALUE"""),17.29)</f>
        <v>17.29</v>
      </c>
      <c r="Q35" s="4"/>
      <c r="R35" s="4"/>
      <c r="S35" s="4"/>
      <c r="T35" s="4"/>
      <c r="U35" s="4"/>
      <c r="V35" s="53"/>
      <c r="W35" s="39"/>
      <c r="X35" s="40" t="str">
        <f t="shared" si="3"/>
        <v>Batang</v>
      </c>
      <c r="Y35" s="4"/>
      <c r="Z35" s="50"/>
      <c r="AA35" s="50"/>
    </row>
    <row r="36" spans="1:27" ht="17.25" customHeight="1">
      <c r="A36" s="59">
        <v>26</v>
      </c>
      <c r="B36" s="60" t="s">
        <v>52</v>
      </c>
      <c r="C36" s="43">
        <v>0.23</v>
      </c>
      <c r="D36" s="43">
        <v>1493.04</v>
      </c>
      <c r="E36" s="43">
        <v>69.19</v>
      </c>
      <c r="F36" s="43">
        <f t="shared" si="0"/>
        <v>1562.46</v>
      </c>
      <c r="G36" s="44">
        <v>458.88</v>
      </c>
      <c r="H36" s="45">
        <f t="shared" si="1"/>
        <v>307.34608583828964</v>
      </c>
      <c r="I36" s="45">
        <v>11694</v>
      </c>
      <c r="J36" s="46">
        <f t="shared" si="2"/>
        <v>0.13361210877373011</v>
      </c>
      <c r="K36" s="3"/>
      <c r="L36" s="3"/>
      <c r="M36" s="42" t="str">
        <f ca="1">IFERROR(__xludf.DUMMYFUNCTION("""COMPUTED_VALUE"""),"Kota Salatiga")</f>
        <v>Kota Salatiga</v>
      </c>
      <c r="N36" s="47">
        <f ca="1">IFERROR(__xludf.DUMMYFUNCTION("""COMPUTED_VALUE"""),32.5)</f>
        <v>32.5</v>
      </c>
      <c r="O36" s="42" t="str">
        <f ca="1">IFERROR(__xludf.DUMMYFUNCTION("""COMPUTED_VALUE"""),"Kota Salatiga")</f>
        <v>Kota Salatiga</v>
      </c>
      <c r="P36" s="47">
        <f ca="1">IFERROR(__xludf.DUMMYFUNCTION("""COMPUTED_VALUE"""),4.85)</f>
        <v>4.8499999999999996</v>
      </c>
      <c r="Q36" s="48"/>
      <c r="R36" s="48"/>
      <c r="S36" s="48"/>
      <c r="T36" s="48"/>
      <c r="U36" s="48"/>
      <c r="V36" s="48"/>
      <c r="W36" s="49"/>
      <c r="X36" s="40" t="str">
        <f t="shared" si="3"/>
        <v>Pekalongan</v>
      </c>
      <c r="Y36" s="48"/>
      <c r="Z36" s="50"/>
      <c r="AA36" s="50"/>
    </row>
    <row r="37" spans="1:27" ht="17.25" customHeight="1">
      <c r="A37" s="59">
        <v>27</v>
      </c>
      <c r="B37" s="60" t="s">
        <v>53</v>
      </c>
      <c r="C37" s="43">
        <v>304.60000000000002</v>
      </c>
      <c r="D37" s="43">
        <v>1022.08</v>
      </c>
      <c r="E37" s="43">
        <v>1486.6</v>
      </c>
      <c r="F37" s="43">
        <f t="shared" si="0"/>
        <v>2813.2799999999997</v>
      </c>
      <c r="G37" s="44">
        <v>133.15</v>
      </c>
      <c r="H37" s="45">
        <f t="shared" si="1"/>
        <v>130.27355979962431</v>
      </c>
      <c r="I37" s="45">
        <v>9731</v>
      </c>
      <c r="J37" s="46">
        <f t="shared" si="2"/>
        <v>0.28910492241290719</v>
      </c>
      <c r="K37" s="3"/>
      <c r="L37" s="3"/>
      <c r="M37" s="42" t="str">
        <f ca="1">IFERROR(__xludf.DUMMYFUNCTION("""COMPUTED_VALUE"""),"Kota Semarang")</f>
        <v>Kota Semarang</v>
      </c>
      <c r="N37" s="47">
        <f ca="1">IFERROR(__xludf.DUMMYFUNCTION("""COMPUTED_VALUE"""),30.91)</f>
        <v>30.91</v>
      </c>
      <c r="O37" s="42" t="str">
        <f ca="1">IFERROR(__xludf.DUMMYFUNCTION("""COMPUTED_VALUE"""),"Kab. Sukoharjo")</f>
        <v>Kab. Sukoharjo</v>
      </c>
      <c r="P37" s="47">
        <f ca="1">IFERROR(__xludf.DUMMYFUNCTION("""COMPUTED_VALUE"""),0.84)</f>
        <v>0.84</v>
      </c>
      <c r="Q37" s="4"/>
      <c r="R37" s="4"/>
      <c r="S37" s="4"/>
      <c r="T37" s="4"/>
      <c r="U37" s="4"/>
      <c r="V37" s="4"/>
      <c r="W37" s="39"/>
      <c r="X37" s="40" t="str">
        <f t="shared" si="3"/>
        <v>Pemalang</v>
      </c>
      <c r="Y37" s="4"/>
      <c r="Z37" s="50"/>
      <c r="AA37" s="50"/>
    </row>
    <row r="38" spans="1:27" ht="17.25" customHeight="1">
      <c r="A38" s="59">
        <v>28</v>
      </c>
      <c r="B38" s="60" t="s">
        <v>54</v>
      </c>
      <c r="C38" s="51">
        <v>887.16</v>
      </c>
      <c r="D38" s="51">
        <v>465.6</v>
      </c>
      <c r="E38" s="51">
        <v>211.43</v>
      </c>
      <c r="F38" s="43">
        <f t="shared" si="0"/>
        <v>1564.19</v>
      </c>
      <c r="G38" s="51">
        <v>70.83</v>
      </c>
      <c r="H38" s="45">
        <f t="shared" si="1"/>
        <v>152.1262886597938</v>
      </c>
      <c r="I38" s="52">
        <v>4881</v>
      </c>
      <c r="J38" s="46">
        <f t="shared" si="2"/>
        <v>0.32046506863347674</v>
      </c>
      <c r="K38" s="3"/>
      <c r="L38" s="3"/>
      <c r="M38" s="42" t="str">
        <f ca="1">IFERROR(__xludf.DUMMYFUNCTION("""COMPUTED_VALUE"""),"Kab. Sukoharjo")</f>
        <v>Kab. Sukoharjo</v>
      </c>
      <c r="N38" s="47">
        <f ca="1">IFERROR(__xludf.DUMMYFUNCTION("""COMPUTED_VALUE"""),6.66)</f>
        <v>6.66</v>
      </c>
      <c r="O38" s="42"/>
      <c r="P38" s="47"/>
      <c r="Q38" s="4"/>
      <c r="R38" s="4"/>
      <c r="S38" s="4"/>
      <c r="T38" s="4"/>
      <c r="U38" s="4"/>
      <c r="V38" s="4"/>
      <c r="W38" s="39"/>
      <c r="X38" s="40" t="str">
        <f t="shared" si="3"/>
        <v>Tegal</v>
      </c>
      <c r="Y38" s="4"/>
      <c r="Z38" s="30"/>
      <c r="AA38" s="30"/>
    </row>
    <row r="39" spans="1:27" ht="17.25" customHeight="1">
      <c r="A39" s="59">
        <v>29</v>
      </c>
      <c r="B39" s="60" t="s">
        <v>55</v>
      </c>
      <c r="C39" s="43">
        <v>205.7</v>
      </c>
      <c r="D39" s="43">
        <v>342.5</v>
      </c>
      <c r="E39" s="43">
        <v>28.5</v>
      </c>
      <c r="F39" s="43">
        <f t="shared" si="0"/>
        <v>576.70000000000005</v>
      </c>
      <c r="G39" s="44">
        <v>158.13999999999999</v>
      </c>
      <c r="H39" s="45">
        <f t="shared" si="1"/>
        <v>461.72262773722622</v>
      </c>
      <c r="I39" s="45">
        <v>4091</v>
      </c>
      <c r="J39" s="46">
        <f t="shared" si="2"/>
        <v>0.1409679784893669</v>
      </c>
      <c r="K39" s="3"/>
      <c r="L39" s="3"/>
      <c r="M39" s="42"/>
      <c r="N39" s="47"/>
      <c r="O39" s="42"/>
      <c r="P39" s="47"/>
      <c r="Q39" s="4"/>
      <c r="R39" s="4"/>
      <c r="S39" s="4"/>
      <c r="T39" s="4"/>
      <c r="U39" s="4"/>
      <c r="V39" s="4"/>
      <c r="W39" s="39"/>
      <c r="X39" s="40" t="str">
        <f t="shared" si="3"/>
        <v>Brebes</v>
      </c>
      <c r="Y39" s="4"/>
      <c r="Z39" s="30"/>
      <c r="AA39" s="30"/>
    </row>
    <row r="40" spans="1:27" ht="17.25" customHeight="1">
      <c r="A40" s="59">
        <v>30</v>
      </c>
      <c r="B40" s="60" t="s">
        <v>56</v>
      </c>
      <c r="C40" s="43">
        <v>0</v>
      </c>
      <c r="D40" s="43">
        <v>0</v>
      </c>
      <c r="E40" s="43">
        <v>0</v>
      </c>
      <c r="F40" s="43">
        <f t="shared" si="0"/>
        <v>0</v>
      </c>
      <c r="G40" s="44">
        <v>0</v>
      </c>
      <c r="H40" s="45">
        <f t="shared" si="1"/>
        <v>0</v>
      </c>
      <c r="I40" s="45">
        <v>0</v>
      </c>
      <c r="J40" s="46">
        <f t="shared" si="2"/>
        <v>0</v>
      </c>
      <c r="K40" s="3"/>
      <c r="L40" s="3"/>
      <c r="M40" s="42"/>
      <c r="N40" s="47"/>
      <c r="O40" s="42"/>
      <c r="P40" s="47"/>
      <c r="Q40" s="48"/>
      <c r="R40" s="48"/>
      <c r="S40" s="48"/>
      <c r="T40" s="48"/>
      <c r="U40" s="48"/>
      <c r="V40" s="48"/>
      <c r="W40" s="49"/>
      <c r="X40" s="40" t="str">
        <f t="shared" si="3"/>
        <v>Kota Surakarta</v>
      </c>
      <c r="Y40" s="48"/>
      <c r="Z40" s="50"/>
      <c r="AA40" s="50"/>
    </row>
    <row r="41" spans="1:27" ht="17.25" customHeight="1">
      <c r="A41" s="59">
        <v>31</v>
      </c>
      <c r="B41" s="60" t="s">
        <v>57</v>
      </c>
      <c r="C41" s="43">
        <v>0.15</v>
      </c>
      <c r="D41" s="43">
        <v>29.62</v>
      </c>
      <c r="E41" s="43">
        <v>2.73</v>
      </c>
      <c r="F41" s="43">
        <f t="shared" si="0"/>
        <v>32.5</v>
      </c>
      <c r="G41" s="44">
        <v>4.8499999999999996</v>
      </c>
      <c r="H41" s="45">
        <f t="shared" si="1"/>
        <v>163.7407157326131</v>
      </c>
      <c r="I41" s="45">
        <v>237</v>
      </c>
      <c r="J41" s="45">
        <f t="shared" si="2"/>
        <v>0.1371308016877637</v>
      </c>
      <c r="K41" s="3"/>
      <c r="L41" s="3"/>
      <c r="M41" s="42"/>
      <c r="N41" s="47"/>
      <c r="O41" s="42"/>
      <c r="P41" s="47"/>
      <c r="Q41" s="48"/>
      <c r="R41" s="48"/>
      <c r="S41" s="48"/>
      <c r="T41" s="48"/>
      <c r="U41" s="48"/>
      <c r="V41" s="48"/>
      <c r="W41" s="49"/>
      <c r="X41" s="40" t="str">
        <f t="shared" si="3"/>
        <v>Kota Salatiga</v>
      </c>
      <c r="Y41" s="48"/>
      <c r="Z41" s="30"/>
      <c r="AA41" s="30"/>
    </row>
    <row r="42" spans="1:27" ht="17.25" customHeight="1">
      <c r="A42" s="63">
        <v>32</v>
      </c>
      <c r="B42" s="64" t="s">
        <v>58</v>
      </c>
      <c r="C42" s="65">
        <v>6.75</v>
      </c>
      <c r="D42" s="65">
        <v>21.66</v>
      </c>
      <c r="E42" s="65">
        <v>2.5</v>
      </c>
      <c r="F42" s="43">
        <f t="shared" si="0"/>
        <v>30.91</v>
      </c>
      <c r="G42" s="66">
        <v>0</v>
      </c>
      <c r="H42" s="67">
        <f t="shared" si="1"/>
        <v>0</v>
      </c>
      <c r="I42" s="67">
        <v>0</v>
      </c>
      <c r="J42" s="67">
        <f t="shared" si="2"/>
        <v>0</v>
      </c>
      <c r="K42" s="3"/>
      <c r="L42" s="3"/>
      <c r="M42" s="68"/>
      <c r="N42" s="47"/>
      <c r="O42" s="68"/>
      <c r="P42" s="47"/>
      <c r="Q42" s="48"/>
      <c r="R42" s="48"/>
      <c r="S42" s="48"/>
      <c r="T42" s="48"/>
      <c r="U42" s="48"/>
      <c r="V42" s="48"/>
      <c r="W42" s="49"/>
      <c r="X42" s="40" t="str">
        <f t="shared" si="3"/>
        <v>Kota Semarang</v>
      </c>
      <c r="Y42" s="48"/>
      <c r="Z42" s="50"/>
      <c r="AA42" s="50"/>
    </row>
    <row r="43" spans="1:27" ht="17.25" customHeight="1">
      <c r="A43" s="69" t="s">
        <v>59</v>
      </c>
      <c r="B43" s="70"/>
      <c r="C43" s="71">
        <f t="shared" ref="C43:E43" si="4">SUM(C$11:C$42)</f>
        <v>8049.0899999999974</v>
      </c>
      <c r="D43" s="71">
        <f t="shared" si="4"/>
        <v>19082.52</v>
      </c>
      <c r="E43" s="71">
        <f t="shared" si="4"/>
        <v>4959.58</v>
      </c>
      <c r="F43" s="72">
        <f>C43+D43+E43</f>
        <v>32091.189999999995</v>
      </c>
      <c r="G43" s="71">
        <f>SUM(G$11:G$42)</f>
        <v>5176.6200000000008</v>
      </c>
      <c r="H43" s="73">
        <f>G43*1000/D43</f>
        <v>271.27549191616208</v>
      </c>
      <c r="I43" s="74">
        <f>SUM(I$11:I$42)</f>
        <v>156295</v>
      </c>
      <c r="J43" s="75">
        <f t="shared" si="2"/>
        <v>0.20532448254902586</v>
      </c>
      <c r="K43" s="76">
        <v>168882</v>
      </c>
      <c r="L43" s="3"/>
      <c r="M43" s="30"/>
      <c r="N43" s="47"/>
      <c r="O43" s="30"/>
      <c r="P43" s="47"/>
      <c r="Q43" s="48"/>
      <c r="R43" s="48"/>
      <c r="S43" s="48"/>
      <c r="T43" s="48"/>
      <c r="U43" s="48"/>
      <c r="V43" s="48"/>
      <c r="W43" s="49"/>
      <c r="X43" s="62"/>
      <c r="Y43" s="48"/>
      <c r="Z43" s="48"/>
      <c r="AA43" s="48"/>
    </row>
    <row r="44" spans="1:27" ht="17.25" customHeight="1">
      <c r="A44" s="69" t="s">
        <v>60</v>
      </c>
      <c r="B44" s="70"/>
      <c r="C44" s="71">
        <v>9816.010000000002</v>
      </c>
      <c r="D44" s="71">
        <v>19907.360000000004</v>
      </c>
      <c r="E44" s="71">
        <v>4426.4499999999989</v>
      </c>
      <c r="F44" s="72">
        <v>34149.820000000007</v>
      </c>
      <c r="G44" s="71">
        <v>5215.3400000000011</v>
      </c>
      <c r="H44" s="77">
        <v>261.98049364657089</v>
      </c>
      <c r="I44" s="74">
        <v>166738</v>
      </c>
      <c r="J44" s="75">
        <v>0.20481126078038603</v>
      </c>
      <c r="K44" s="3"/>
      <c r="L44" s="3"/>
      <c r="M44" s="30"/>
      <c r="N44" s="47"/>
      <c r="O44" s="30"/>
      <c r="P44" s="47"/>
      <c r="Q44" s="48"/>
      <c r="R44" s="48"/>
      <c r="S44" s="48"/>
      <c r="T44" s="48"/>
      <c r="U44" s="48"/>
      <c r="V44" s="48"/>
      <c r="W44" s="49"/>
      <c r="X44" s="62"/>
      <c r="Y44" s="48"/>
      <c r="Z44" s="48"/>
      <c r="AA44" s="48"/>
    </row>
    <row r="45" spans="1:27" ht="17.25" customHeight="1">
      <c r="A45" s="69" t="s">
        <v>61</v>
      </c>
      <c r="B45" s="70"/>
      <c r="C45" s="71">
        <v>10815.27</v>
      </c>
      <c r="D45" s="71">
        <v>21502.970000000005</v>
      </c>
      <c r="E45" s="71">
        <v>3122.7999999999997</v>
      </c>
      <c r="F45" s="72">
        <v>35441.040000000008</v>
      </c>
      <c r="G45" s="71">
        <v>6232.1600000000008</v>
      </c>
      <c r="H45" s="77">
        <v>289.82787028954601</v>
      </c>
      <c r="I45" s="74">
        <v>169532</v>
      </c>
      <c r="J45" s="75">
        <v>0.20905221433121776</v>
      </c>
      <c r="K45" s="3"/>
      <c r="L45" s="3"/>
      <c r="M45" s="30"/>
      <c r="N45" s="47"/>
      <c r="O45" s="30"/>
      <c r="P45" s="47"/>
      <c r="Q45" s="48"/>
      <c r="R45" s="48"/>
      <c r="S45" s="48"/>
      <c r="T45" s="48"/>
      <c r="U45" s="48"/>
      <c r="V45" s="48"/>
      <c r="W45" s="49"/>
      <c r="X45" s="62"/>
      <c r="Y45" s="48"/>
      <c r="Z45" s="48"/>
      <c r="AA45" s="48"/>
    </row>
    <row r="46" spans="1:27" ht="17.25" customHeight="1">
      <c r="A46" s="69" t="s">
        <v>62</v>
      </c>
      <c r="B46" s="70"/>
      <c r="C46" s="71">
        <v>12148.44</v>
      </c>
      <c r="D46" s="71">
        <v>23082.31</v>
      </c>
      <c r="E46" s="71">
        <v>3871.4399999999996</v>
      </c>
      <c r="F46" s="72">
        <v>39102.19</v>
      </c>
      <c r="G46" s="71">
        <v>7078.920000000001</v>
      </c>
      <c r="H46" s="77">
        <v>306.68161028943814</v>
      </c>
      <c r="I46" s="74">
        <v>186206</v>
      </c>
      <c r="J46" s="75">
        <v>0.20999425367603622</v>
      </c>
      <c r="K46" s="3"/>
      <c r="L46" s="3"/>
      <c r="M46" s="30"/>
      <c r="N46" s="47"/>
      <c r="O46" s="30"/>
      <c r="P46" s="47"/>
      <c r="Q46" s="48"/>
      <c r="R46" s="48"/>
      <c r="S46" s="48"/>
      <c r="T46" s="48"/>
      <c r="U46" s="48"/>
      <c r="V46" s="48"/>
      <c r="W46" s="49"/>
      <c r="X46" s="62"/>
      <c r="Y46" s="48"/>
      <c r="Z46" s="48"/>
      <c r="AA46" s="48"/>
    </row>
    <row r="47" spans="1:27" ht="17.25" customHeight="1">
      <c r="A47" s="69" t="s">
        <v>63</v>
      </c>
      <c r="B47" s="70"/>
      <c r="C47" s="71">
        <v>12067.875000000002</v>
      </c>
      <c r="D47" s="71">
        <v>23873.756714285711</v>
      </c>
      <c r="E47" s="71">
        <v>3384.6042857142852</v>
      </c>
      <c r="F47" s="72">
        <v>39326.235999999997</v>
      </c>
      <c r="G47" s="71">
        <v>7381.0083088999982</v>
      </c>
      <c r="H47" s="77">
        <v>309.16828035209511</v>
      </c>
      <c r="I47" s="74">
        <v>195500.86962714419</v>
      </c>
      <c r="J47" s="75">
        <v>0.20115632260358893</v>
      </c>
      <c r="K47" s="3"/>
      <c r="L47" s="3"/>
      <c r="M47" s="30"/>
      <c r="N47" s="47"/>
      <c r="O47" s="30"/>
      <c r="P47" s="47"/>
      <c r="Q47" s="48"/>
      <c r="R47" s="48"/>
      <c r="S47" s="48"/>
      <c r="T47" s="48"/>
      <c r="U47" s="48"/>
      <c r="V47" s="48"/>
      <c r="W47" s="49"/>
      <c r="X47" s="62"/>
      <c r="Y47" s="48"/>
      <c r="Z47" s="48"/>
      <c r="AA47" s="48"/>
    </row>
    <row r="48" spans="1:27" ht="17.25" customHeight="1">
      <c r="A48" s="69" t="s">
        <v>64</v>
      </c>
      <c r="B48" s="70"/>
      <c r="C48" s="71">
        <v>13351.380000000003</v>
      </c>
      <c r="D48" s="71">
        <v>23813.647699999998</v>
      </c>
      <c r="E48" s="71">
        <v>3475.2640000000001</v>
      </c>
      <c r="F48" s="72">
        <v>40640.291700000002</v>
      </c>
      <c r="G48" s="71">
        <v>7268.5044879999996</v>
      </c>
      <c r="H48" s="77">
        <v>305.22432260556207</v>
      </c>
      <c r="I48" s="74">
        <v>199689</v>
      </c>
      <c r="J48" s="75">
        <v>0.20351792887940748</v>
      </c>
      <c r="K48" s="3"/>
      <c r="L48" s="3"/>
      <c r="M48" s="30"/>
      <c r="N48" s="47"/>
      <c r="O48" s="30"/>
      <c r="P48" s="47"/>
      <c r="Q48" s="48"/>
      <c r="R48" s="48"/>
      <c r="S48" s="48"/>
      <c r="T48" s="48"/>
      <c r="U48" s="48"/>
      <c r="V48" s="48"/>
      <c r="W48" s="49"/>
      <c r="X48" s="62"/>
      <c r="Y48" s="48"/>
      <c r="Z48" s="48"/>
      <c r="AA48" s="48"/>
    </row>
    <row r="49" spans="1:27" ht="17.25" hidden="1" customHeight="1">
      <c r="A49" s="69" t="s">
        <v>65</v>
      </c>
      <c r="B49" s="70"/>
      <c r="C49" s="71">
        <v>14898.124800000001</v>
      </c>
      <c r="D49" s="71">
        <v>22761.646800000002</v>
      </c>
      <c r="E49" s="71">
        <v>3619.6974</v>
      </c>
      <c r="F49" s="72">
        <v>41279.469000000005</v>
      </c>
      <c r="G49" s="71">
        <v>7446.9227483999994</v>
      </c>
      <c r="H49" s="77">
        <v>327.16977000100002</v>
      </c>
      <c r="I49" s="74">
        <v>202008.78333333333</v>
      </c>
      <c r="J49" s="75">
        <v>0.2043449216358332</v>
      </c>
      <c r="K49" s="3"/>
      <c r="L49" s="3"/>
      <c r="M49" s="30"/>
      <c r="N49" s="47"/>
      <c r="O49" s="30"/>
      <c r="P49" s="47"/>
      <c r="Q49" s="48"/>
      <c r="R49" s="48"/>
      <c r="S49" s="48"/>
      <c r="T49" s="48"/>
      <c r="U49" s="48"/>
      <c r="V49" s="48"/>
      <c r="W49" s="49"/>
      <c r="X49" s="62"/>
      <c r="Y49" s="48"/>
      <c r="Z49" s="48"/>
      <c r="AA49" s="48"/>
    </row>
    <row r="50" spans="1:27" ht="16.5" hidden="1" customHeight="1">
      <c r="A50" s="69" t="s">
        <v>66</v>
      </c>
      <c r="B50" s="70"/>
      <c r="C50" s="71">
        <v>14975.319999999996</v>
      </c>
      <c r="D50" s="71">
        <v>23106.67</v>
      </c>
      <c r="E50" s="71">
        <v>3965.1099999999997</v>
      </c>
      <c r="F50" s="72">
        <f t="shared" ref="F50:F58" si="5">C50+D50+E50</f>
        <v>42047.099999999991</v>
      </c>
      <c r="G50" s="71">
        <v>5064.1819199999982</v>
      </c>
      <c r="H50" s="77">
        <v>219.16537173032714</v>
      </c>
      <c r="I50" s="74">
        <v>206344</v>
      </c>
      <c r="J50" s="75">
        <v>0.20377185670530759</v>
      </c>
      <c r="K50" s="3"/>
      <c r="L50" s="3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6.5" hidden="1" customHeight="1">
      <c r="A51" s="78" t="s">
        <v>67</v>
      </c>
      <c r="B51" s="70"/>
      <c r="C51" s="79">
        <v>13679.29</v>
      </c>
      <c r="D51" s="71">
        <v>23497.289999999997</v>
      </c>
      <c r="E51" s="71">
        <v>3835.4300000000003</v>
      </c>
      <c r="F51" s="72">
        <f t="shared" si="5"/>
        <v>41012.01</v>
      </c>
      <c r="G51" s="71">
        <v>6274.3799999999992</v>
      </c>
      <c r="H51" s="77">
        <v>267.02568679196622</v>
      </c>
      <c r="I51" s="80">
        <v>202629</v>
      </c>
      <c r="J51" s="71">
        <v>0.20239950846127652</v>
      </c>
      <c r="K51" s="3"/>
      <c r="L51" s="3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6.5" hidden="1" customHeight="1">
      <c r="A52" s="78" t="s">
        <v>68</v>
      </c>
      <c r="B52" s="70"/>
      <c r="C52" s="79">
        <v>13665.449999999999</v>
      </c>
      <c r="D52" s="71">
        <v>23867.850000000002</v>
      </c>
      <c r="E52" s="71">
        <v>3544.9800000000005</v>
      </c>
      <c r="F52" s="72">
        <f t="shared" si="5"/>
        <v>41078.280000000006</v>
      </c>
      <c r="G52" s="71">
        <v>6433.7199999999984</v>
      </c>
      <c r="H52" s="77">
        <v>269.55590888999211</v>
      </c>
      <c r="I52" s="80">
        <v>199713</v>
      </c>
      <c r="J52" s="71">
        <v>0.20568656021390691</v>
      </c>
      <c r="K52" s="3"/>
      <c r="L52" s="3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6.5" hidden="1" customHeight="1">
      <c r="A53" s="78" t="s">
        <v>69</v>
      </c>
      <c r="B53" s="70"/>
      <c r="C53" s="79">
        <v>13582.130000000003</v>
      </c>
      <c r="D53" s="71">
        <v>23602.260000000002</v>
      </c>
      <c r="E53" s="71">
        <v>3685.92</v>
      </c>
      <c r="F53" s="72">
        <f t="shared" si="5"/>
        <v>40870.310000000005</v>
      </c>
      <c r="G53" s="71">
        <v>6850.6000000000013</v>
      </c>
      <c r="H53" s="77">
        <v>290.25186571116495</v>
      </c>
      <c r="I53" s="80">
        <v>199994</v>
      </c>
      <c r="J53" s="71">
        <v>0.20435768073042193</v>
      </c>
      <c r="K53" s="3"/>
      <c r="L53" s="3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6.5" hidden="1" customHeight="1">
      <c r="A54" s="78" t="s">
        <v>70</v>
      </c>
      <c r="B54" s="70"/>
      <c r="C54" s="81">
        <v>13040.52</v>
      </c>
      <c r="D54" s="81">
        <v>24522.44</v>
      </c>
      <c r="E54" s="81">
        <v>3857.8</v>
      </c>
      <c r="F54" s="72">
        <f t="shared" si="5"/>
        <v>41420.76</v>
      </c>
      <c r="G54" s="81">
        <v>6235.55</v>
      </c>
      <c r="H54" s="77">
        <v>254</v>
      </c>
      <c r="I54" s="80">
        <v>218411</v>
      </c>
      <c r="J54" s="71">
        <v>0.19</v>
      </c>
      <c r="K54" s="3"/>
      <c r="L54" s="3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7.25" hidden="1" customHeight="1">
      <c r="A55" s="78" t="s">
        <v>71</v>
      </c>
      <c r="B55" s="70"/>
      <c r="C55" s="81">
        <v>12654.910000000003</v>
      </c>
      <c r="D55" s="81">
        <v>25670.53</v>
      </c>
      <c r="E55" s="81">
        <v>3376.11</v>
      </c>
      <c r="F55" s="72">
        <f t="shared" si="5"/>
        <v>41701.550000000003</v>
      </c>
      <c r="G55" s="82">
        <v>7571.76</v>
      </c>
      <c r="H55" s="77">
        <v>294.95923925216971</v>
      </c>
      <c r="I55" s="83">
        <v>233565</v>
      </c>
      <c r="J55" s="71">
        <v>0.20426746976151999</v>
      </c>
      <c r="K55" s="3"/>
      <c r="L55" s="3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7.25" hidden="1" customHeight="1">
      <c r="A56" s="78" t="s">
        <v>72</v>
      </c>
      <c r="B56" s="70"/>
      <c r="C56" s="71">
        <v>11015.38</v>
      </c>
      <c r="D56" s="71">
        <v>26252.202000000005</v>
      </c>
      <c r="E56" s="71">
        <v>3932.69</v>
      </c>
      <c r="F56" s="72">
        <f t="shared" si="5"/>
        <v>41200.272000000004</v>
      </c>
      <c r="G56" s="84">
        <v>4236.2709999999997</v>
      </c>
      <c r="H56" s="77">
        <v>161.36821589289914</v>
      </c>
      <c r="I56" s="85">
        <v>203374</v>
      </c>
      <c r="J56" s="71">
        <v>0.19232192598690059</v>
      </c>
      <c r="K56" s="3"/>
      <c r="L56" s="3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7.25" hidden="1" customHeight="1">
      <c r="A57" s="86" t="s">
        <v>73</v>
      </c>
      <c r="B57" s="70"/>
      <c r="C57" s="71">
        <v>6013.74</v>
      </c>
      <c r="D57" s="71">
        <v>26777.61</v>
      </c>
      <c r="E57" s="71">
        <v>3575.02</v>
      </c>
      <c r="F57" s="72">
        <f t="shared" si="5"/>
        <v>36366.369999999995</v>
      </c>
      <c r="G57" s="84">
        <v>6108.26</v>
      </c>
      <c r="H57" s="77">
        <v>228</v>
      </c>
      <c r="I57" s="85">
        <v>191781</v>
      </c>
      <c r="J57" s="71">
        <v>0.18605410748436726</v>
      </c>
      <c r="K57" s="3"/>
      <c r="L57" s="3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7.25" hidden="1" customHeight="1">
      <c r="A58" s="86" t="s">
        <v>74</v>
      </c>
      <c r="B58" s="70"/>
      <c r="C58" s="71">
        <v>4234.0200000000004</v>
      </c>
      <c r="D58" s="71">
        <v>27024.11</v>
      </c>
      <c r="E58" s="71">
        <v>3375.47</v>
      </c>
      <c r="F58" s="72">
        <f t="shared" si="5"/>
        <v>34633.599999999999</v>
      </c>
      <c r="G58" s="84">
        <v>5869.27</v>
      </c>
      <c r="H58" s="77">
        <v>217</v>
      </c>
      <c r="I58" s="85">
        <v>186148</v>
      </c>
      <c r="J58" s="71">
        <v>0.18710955805326843</v>
      </c>
      <c r="K58" s="3"/>
      <c r="L58" s="3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5.75" customHeight="1">
      <c r="A59" s="87"/>
      <c r="B59" s="87" t="s">
        <v>75</v>
      </c>
      <c r="C59" s="88"/>
      <c r="D59" s="88"/>
      <c r="E59" s="88"/>
      <c r="F59" s="88"/>
      <c r="G59" s="89"/>
      <c r="H59" s="88"/>
      <c r="I59" s="90"/>
      <c r="J59" s="90"/>
      <c r="K59" s="91"/>
      <c r="L59" s="91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</row>
    <row r="60" spans="1:27" ht="17.25" customHeight="1">
      <c r="A60" s="93"/>
      <c r="B60" s="93"/>
      <c r="C60" s="94"/>
      <c r="D60" s="94"/>
      <c r="E60" s="94"/>
      <c r="F60" s="94"/>
      <c r="G60" s="95" t="s">
        <v>76</v>
      </c>
      <c r="H60" s="94"/>
      <c r="I60" s="96"/>
      <c r="J60" s="97"/>
      <c r="K60" s="91"/>
      <c r="L60" s="91"/>
      <c r="M60" s="92"/>
      <c r="N60" s="92"/>
      <c r="O60" s="98" t="s">
        <v>77</v>
      </c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</row>
    <row r="61" spans="1:27" ht="17.25" customHeight="1">
      <c r="A61" s="93"/>
      <c r="B61" s="93"/>
      <c r="C61" s="94"/>
      <c r="D61" s="94"/>
      <c r="E61" s="94"/>
      <c r="F61" s="94"/>
      <c r="G61" s="99"/>
      <c r="H61" s="94"/>
      <c r="I61" s="96"/>
      <c r="J61" s="97"/>
      <c r="K61" s="91"/>
      <c r="L61" s="91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</row>
    <row r="62" spans="1:27" ht="17.25" customHeight="1">
      <c r="A62" s="93"/>
      <c r="B62" s="93"/>
      <c r="C62" s="94"/>
      <c r="D62" s="94"/>
      <c r="E62" s="94"/>
      <c r="F62" s="94"/>
      <c r="G62" s="99"/>
      <c r="H62" s="94"/>
      <c r="I62" s="96"/>
      <c r="J62" s="97"/>
      <c r="K62" s="91"/>
      <c r="L62" s="91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</row>
    <row r="63" spans="1:27" ht="17.25" customHeight="1">
      <c r="A63" s="93"/>
      <c r="B63" s="100" t="s">
        <v>78</v>
      </c>
      <c r="C63" s="100" t="s">
        <v>79</v>
      </c>
      <c r="D63" s="94"/>
      <c r="E63" s="94"/>
      <c r="F63" s="94"/>
      <c r="G63" s="99"/>
      <c r="H63" s="94"/>
      <c r="I63" s="96"/>
      <c r="J63" s="97"/>
      <c r="K63" s="91"/>
      <c r="L63" s="91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</row>
    <row r="64" spans="1:27" ht="17.25" customHeight="1">
      <c r="A64" s="93"/>
      <c r="B64" s="100" t="str">
        <f t="array" aca="1" ref="B64" ca="1">RIGHT(INDIRECT("A43"),4)</f>
        <v>2024</v>
      </c>
      <c r="C64" s="101">
        <f t="array" aca="1" ref="C64" ca="1">INDIRECT("g43")</f>
        <v>5176.6200000000008</v>
      </c>
      <c r="D64" s="94"/>
      <c r="E64" s="94"/>
      <c r="F64" s="94"/>
      <c r="G64" s="99"/>
      <c r="H64" s="94"/>
      <c r="I64" s="96"/>
      <c r="J64" s="97"/>
      <c r="K64" s="91"/>
      <c r="L64" s="91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</row>
    <row r="65" spans="1:27" ht="17.25" customHeight="1">
      <c r="A65" s="93"/>
      <c r="B65" s="100" t="str">
        <f t="array" aca="1" ref="B65" ca="1">RIGHT(INDIRECT("A44"),4)</f>
        <v>2023</v>
      </c>
      <c r="C65" s="101">
        <f t="array" aca="1" ref="C65" ca="1">INDIRECT("g44")</f>
        <v>5215.3400000000011</v>
      </c>
      <c r="D65" s="94"/>
      <c r="E65" s="94"/>
      <c r="F65" s="94"/>
      <c r="G65" s="99"/>
      <c r="H65" s="94"/>
      <c r="I65" s="96"/>
      <c r="J65" s="97"/>
      <c r="K65" s="91"/>
      <c r="L65" s="91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</row>
    <row r="66" spans="1:27" ht="17.25" customHeight="1">
      <c r="A66" s="93"/>
      <c r="B66" s="100" t="str">
        <f t="array" aca="1" ref="B66" ca="1">RIGHT(INDIRECT("A45"),4)</f>
        <v>2022</v>
      </c>
      <c r="C66" s="101">
        <f t="array" aca="1" ref="C66" ca="1">INDIRECT("g45")</f>
        <v>6232.1600000000008</v>
      </c>
      <c r="D66" s="94"/>
      <c r="E66" s="94"/>
      <c r="F66" s="94"/>
      <c r="G66" s="99"/>
      <c r="H66" s="94"/>
      <c r="I66" s="96"/>
      <c r="J66" s="97"/>
      <c r="K66" s="91"/>
      <c r="L66" s="91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</row>
    <row r="67" spans="1:27" ht="17.25" customHeight="1">
      <c r="A67" s="93"/>
      <c r="B67" s="100" t="str">
        <f t="array" aca="1" ref="B67" ca="1">RIGHT(INDIRECT("A46"),4)</f>
        <v>2021</v>
      </c>
      <c r="C67" s="101">
        <f t="array" aca="1" ref="C67" ca="1">INDIRECT("g46")</f>
        <v>7078.920000000001</v>
      </c>
      <c r="D67" s="94"/>
      <c r="E67" s="94"/>
      <c r="F67" s="94"/>
      <c r="G67" s="99"/>
      <c r="H67" s="94"/>
      <c r="I67" s="96"/>
      <c r="J67" s="97"/>
      <c r="K67" s="91"/>
      <c r="L67" s="91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</row>
    <row r="68" spans="1:27" ht="17.25" customHeight="1">
      <c r="A68" s="93"/>
      <c r="B68" s="100" t="str">
        <f t="array" aca="1" ref="B68" ca="1">RIGHT(INDIRECT("A47"),4)</f>
        <v>2020</v>
      </c>
      <c r="C68" s="101">
        <f t="array" aca="1" ref="C68" ca="1">INDIRECT("g47")</f>
        <v>7381.0083088999982</v>
      </c>
      <c r="D68" s="94"/>
      <c r="E68" s="94"/>
      <c r="F68" s="94"/>
      <c r="G68" s="99"/>
      <c r="H68" s="94"/>
      <c r="I68" s="96"/>
      <c r="J68" s="97"/>
      <c r="K68" s="91"/>
      <c r="L68" s="91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</row>
    <row r="69" spans="1:27" ht="17.25" customHeight="1">
      <c r="A69" s="93"/>
      <c r="B69" s="100" t="str">
        <f t="array" aca="1" ref="B69" ca="1">RIGHT(INDIRECT("A48"),4)</f>
        <v>2019</v>
      </c>
      <c r="C69" s="101">
        <f t="array" aca="1" ref="C69" ca="1">INDIRECT("g48")</f>
        <v>7268.5044879999996</v>
      </c>
      <c r="D69" s="94"/>
      <c r="E69" s="94"/>
      <c r="F69" s="94"/>
      <c r="G69" s="99"/>
      <c r="H69" s="94"/>
      <c r="I69" s="96"/>
      <c r="J69" s="97"/>
      <c r="K69" s="91"/>
      <c r="L69" s="91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</row>
    <row r="70" spans="1:27" ht="17.25" customHeight="1">
      <c r="A70" s="93"/>
      <c r="B70" s="100" t="str">
        <f t="array" aca="1" ref="B70" ca="1">RIGHT(INDIRECT("A49"),4)</f>
        <v>2018</v>
      </c>
      <c r="C70" s="101">
        <f t="array" aca="1" ref="C70" ca="1">INDIRECT("g49")</f>
        <v>7446.9227483999994</v>
      </c>
      <c r="D70" s="94"/>
      <c r="E70" s="94"/>
      <c r="F70" s="94"/>
      <c r="G70" s="99"/>
      <c r="H70" s="94"/>
      <c r="I70" s="96"/>
      <c r="J70" s="97"/>
      <c r="K70" s="91"/>
      <c r="L70" s="91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</row>
    <row r="71" spans="1:27" ht="17.25" customHeight="1">
      <c r="A71" s="93"/>
      <c r="B71" s="100" t="str">
        <f t="array" aca="1" ref="B71" ca="1">RIGHT(INDIRECT("A50"),4)</f>
        <v>2017</v>
      </c>
      <c r="C71" s="101">
        <f t="array" aca="1" ref="C71" ca="1">INDIRECT("g50")</f>
        <v>5064.1819199999982</v>
      </c>
      <c r="D71" s="94"/>
      <c r="E71" s="94"/>
      <c r="F71" s="94"/>
      <c r="G71" s="99"/>
      <c r="H71" s="94"/>
      <c r="I71" s="96"/>
      <c r="J71" s="97"/>
      <c r="K71" s="91"/>
      <c r="L71" s="91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</row>
    <row r="72" spans="1:27" ht="14.25" customHeight="1">
      <c r="A72" s="102"/>
      <c r="B72" s="100" t="str">
        <f t="array" aca="1" ref="B72" ca="1">RIGHT(INDIRECT("A51"),4)</f>
        <v>2016</v>
      </c>
      <c r="C72" s="101">
        <f t="array" aca="1" ref="C72" ca="1">INDIRECT("g51")</f>
        <v>6274.3799999999992</v>
      </c>
      <c r="D72" s="102"/>
      <c r="E72" s="102"/>
      <c r="F72" s="102"/>
      <c r="G72" s="103"/>
      <c r="H72" s="102"/>
      <c r="I72" s="102"/>
      <c r="J72" s="104"/>
      <c r="K72" s="105"/>
      <c r="L72" s="105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</row>
    <row r="73" spans="1:27" ht="14.25" customHeight="1">
      <c r="A73" s="102"/>
      <c r="B73" s="100" t="str">
        <f t="array" aca="1" ref="B73" ca="1">RIGHT(INDIRECT("A52"),4)</f>
        <v>2015</v>
      </c>
      <c r="C73" s="101">
        <f t="array" aca="1" ref="C73" ca="1">INDIRECT("g52")</f>
        <v>6433.7199999999984</v>
      </c>
      <c r="D73" s="102"/>
      <c r="E73" s="102"/>
      <c r="F73" s="102"/>
      <c r="G73" s="103"/>
      <c r="H73" s="102"/>
      <c r="I73" s="102"/>
      <c r="J73" s="104"/>
      <c r="K73" s="105"/>
      <c r="L73" s="105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</row>
    <row r="74" spans="1:27" ht="14.25" customHeight="1">
      <c r="A74" s="102"/>
      <c r="B74" s="100" t="str">
        <f t="array" aca="1" ref="B74" ca="1">RIGHT(INDIRECT("A53"),4)</f>
        <v>2014</v>
      </c>
      <c r="C74" s="101">
        <f t="array" aca="1" ref="C74" ca="1">INDIRECT("g53")</f>
        <v>6850.6000000000013</v>
      </c>
      <c r="D74" s="102"/>
      <c r="E74" s="102"/>
      <c r="F74" s="102"/>
      <c r="G74" s="103"/>
      <c r="H74" s="102"/>
      <c r="I74" s="102"/>
      <c r="J74" s="104"/>
      <c r="K74" s="105"/>
      <c r="L74" s="105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</row>
    <row r="75" spans="1:27" ht="14.25" customHeight="1">
      <c r="A75" s="102"/>
      <c r="B75" s="100" t="str">
        <f t="array" aca="1" ref="B75" ca="1">RIGHT(INDIRECT("A54"),4)</f>
        <v>2013</v>
      </c>
      <c r="C75" s="101">
        <f t="array" aca="1" ref="C75" ca="1">INDIRECT("g54")</f>
        <v>6235.55</v>
      </c>
      <c r="D75" s="102"/>
      <c r="E75" s="102"/>
      <c r="F75" s="102"/>
      <c r="G75" s="103"/>
      <c r="H75" s="102"/>
      <c r="I75" s="102"/>
      <c r="J75" s="104"/>
      <c r="K75" s="105"/>
      <c r="L75" s="105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</row>
    <row r="76" spans="1:27" ht="14.25" customHeight="1">
      <c r="A76" s="102"/>
      <c r="B76" s="106" t="str">
        <f t="array" aca="1" ref="B76" ca="1">RIGHT(INDIRECT("A55"),4)</f>
        <v>2012</v>
      </c>
      <c r="C76" s="101">
        <f t="array" aca="1" ref="C76" ca="1">INDIRECT("g55")</f>
        <v>7571.76</v>
      </c>
      <c r="D76" s="102"/>
      <c r="E76" s="102"/>
      <c r="F76" s="102"/>
      <c r="G76" s="103"/>
      <c r="H76" s="102"/>
      <c r="I76" s="102"/>
      <c r="J76" s="104"/>
      <c r="K76" s="105"/>
      <c r="L76" s="105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</row>
    <row r="77" spans="1:27" ht="14.25" customHeight="1">
      <c r="A77" s="102"/>
      <c r="B77" s="102"/>
      <c r="C77" s="102"/>
      <c r="D77" s="102"/>
      <c r="E77" s="102"/>
      <c r="F77" s="102"/>
      <c r="G77" s="103"/>
      <c r="H77" s="102"/>
      <c r="I77" s="102"/>
      <c r="J77" s="104"/>
      <c r="K77" s="105"/>
      <c r="L77" s="105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</row>
    <row r="78" spans="1:27" ht="14.25" customHeight="1">
      <c r="A78" s="102"/>
      <c r="B78" s="102"/>
      <c r="C78" s="102"/>
      <c r="D78" s="102"/>
      <c r="E78" s="102"/>
      <c r="F78" s="102"/>
      <c r="G78" s="103"/>
      <c r="H78" s="102"/>
      <c r="I78" s="102"/>
      <c r="J78" s="104"/>
      <c r="K78" s="105"/>
      <c r="L78" s="105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</row>
    <row r="79" spans="1:27" ht="14.25" customHeight="1">
      <c r="A79" s="102"/>
      <c r="B79" s="102"/>
      <c r="C79" s="102"/>
      <c r="D79" s="102"/>
      <c r="E79" s="102"/>
      <c r="F79" s="102"/>
      <c r="G79" s="103"/>
      <c r="H79" s="102"/>
      <c r="I79" s="102"/>
      <c r="J79" s="104"/>
      <c r="K79" s="105"/>
      <c r="L79" s="105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</row>
    <row r="80" spans="1:27" ht="14.25" customHeight="1">
      <c r="A80" s="102"/>
      <c r="B80" s="102"/>
      <c r="C80" s="102"/>
      <c r="D80" s="102"/>
      <c r="E80" s="102"/>
      <c r="F80" s="102"/>
      <c r="G80" s="103"/>
      <c r="H80" s="102"/>
      <c r="I80" s="102"/>
      <c r="J80" s="104"/>
      <c r="K80" s="105"/>
      <c r="L80" s="105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</row>
    <row r="81" spans="1:27" ht="14.25" customHeight="1">
      <c r="A81" s="102"/>
      <c r="B81" s="102"/>
      <c r="C81" s="102"/>
      <c r="D81" s="102"/>
      <c r="E81" s="102"/>
      <c r="F81" s="102"/>
      <c r="G81" s="103"/>
      <c r="H81" s="102"/>
      <c r="I81" s="102"/>
      <c r="J81" s="104"/>
      <c r="K81" s="105"/>
      <c r="L81" s="105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</row>
    <row r="82" spans="1:27" ht="14.25" customHeight="1">
      <c r="A82" s="102"/>
      <c r="B82" s="102"/>
      <c r="C82" s="102"/>
      <c r="D82" s="102"/>
      <c r="E82" s="102"/>
      <c r="F82" s="102"/>
      <c r="G82" s="103"/>
      <c r="H82" s="102"/>
      <c r="I82" s="102"/>
      <c r="J82" s="104"/>
      <c r="K82" s="105"/>
      <c r="L82" s="105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</row>
    <row r="83" spans="1:27" ht="14.25" customHeight="1">
      <c r="A83" s="102"/>
      <c r="B83" s="102"/>
      <c r="C83" s="102"/>
      <c r="D83" s="102"/>
      <c r="E83" s="102"/>
      <c r="F83" s="102"/>
      <c r="G83" s="103"/>
      <c r="H83" s="102"/>
      <c r="I83" s="102"/>
      <c r="J83" s="104"/>
      <c r="K83" s="105"/>
      <c r="L83" s="105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</row>
    <row r="84" spans="1:27" ht="14.25" customHeight="1">
      <c r="A84" s="102"/>
      <c r="B84" s="102"/>
      <c r="C84" s="102"/>
      <c r="D84" s="102"/>
      <c r="E84" s="102"/>
      <c r="F84" s="102"/>
      <c r="G84" s="103"/>
      <c r="H84" s="102"/>
      <c r="I84" s="102"/>
      <c r="J84" s="104"/>
      <c r="K84" s="105"/>
      <c r="L84" s="105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2"/>
    </row>
    <row r="85" spans="1:27" ht="14.25" customHeight="1">
      <c r="A85" s="102"/>
      <c r="B85" s="102"/>
      <c r="C85" s="102"/>
      <c r="D85" s="102"/>
      <c r="E85" s="102"/>
      <c r="F85" s="102"/>
      <c r="G85" s="103"/>
      <c r="H85" s="102"/>
      <c r="I85" s="102"/>
      <c r="J85" s="104"/>
      <c r="K85" s="105"/>
      <c r="L85" s="105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</row>
    <row r="86" spans="1:27" ht="14.25" customHeight="1">
      <c r="A86" s="102"/>
      <c r="B86" s="102"/>
      <c r="C86" s="102"/>
      <c r="D86" s="102"/>
      <c r="E86" s="102"/>
      <c r="F86" s="102"/>
      <c r="G86" s="103"/>
      <c r="H86" s="102"/>
      <c r="I86" s="102"/>
      <c r="J86" s="104"/>
      <c r="K86" s="105"/>
      <c r="L86" s="105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</row>
    <row r="87" spans="1:27" ht="14.25" customHeight="1">
      <c r="A87" s="102"/>
      <c r="B87" s="102"/>
      <c r="C87" s="102"/>
      <c r="D87" s="102"/>
      <c r="E87" s="102"/>
      <c r="F87" s="102"/>
      <c r="G87" s="103"/>
      <c r="H87" s="102"/>
      <c r="I87" s="102"/>
      <c r="J87" s="104"/>
      <c r="K87" s="105"/>
      <c r="L87" s="105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</row>
    <row r="88" spans="1:27" ht="14.25" customHeight="1">
      <c r="A88" s="102"/>
      <c r="B88" s="102"/>
      <c r="C88" s="102"/>
      <c r="D88" s="102"/>
      <c r="E88" s="102"/>
      <c r="F88" s="102"/>
      <c r="G88" s="103"/>
      <c r="H88" s="102"/>
      <c r="I88" s="102"/>
      <c r="J88" s="104"/>
      <c r="K88" s="105"/>
      <c r="L88" s="105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</row>
    <row r="89" spans="1:27" ht="14.25" customHeight="1">
      <c r="A89" s="102"/>
      <c r="B89" s="102"/>
      <c r="C89" s="102"/>
      <c r="D89" s="102"/>
      <c r="E89" s="102"/>
      <c r="F89" s="102"/>
      <c r="G89" s="103"/>
      <c r="H89" s="102"/>
      <c r="I89" s="102"/>
      <c r="J89" s="104"/>
      <c r="K89" s="105"/>
      <c r="L89" s="105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</row>
    <row r="90" spans="1:27" ht="14.25" customHeight="1">
      <c r="A90" s="102"/>
      <c r="B90" s="102"/>
      <c r="C90" s="102"/>
      <c r="D90" s="102"/>
      <c r="E90" s="102"/>
      <c r="F90" s="102"/>
      <c r="G90" s="103"/>
      <c r="H90" s="102"/>
      <c r="I90" s="102"/>
      <c r="J90" s="104"/>
      <c r="K90" s="105"/>
      <c r="L90" s="105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</row>
    <row r="91" spans="1:27" ht="14.25" customHeight="1">
      <c r="A91" s="102"/>
      <c r="B91" s="102"/>
      <c r="C91" s="102"/>
      <c r="D91" s="102"/>
      <c r="E91" s="102"/>
      <c r="F91" s="102"/>
      <c r="G91" s="103"/>
      <c r="H91" s="102"/>
      <c r="I91" s="102"/>
      <c r="J91" s="104"/>
      <c r="K91" s="105"/>
      <c r="L91" s="105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</row>
    <row r="92" spans="1:27" ht="14.25" customHeight="1">
      <c r="A92" s="102"/>
      <c r="B92" s="102"/>
      <c r="C92" s="102"/>
      <c r="D92" s="102"/>
      <c r="E92" s="102"/>
      <c r="F92" s="102"/>
      <c r="G92" s="103"/>
      <c r="H92" s="102"/>
      <c r="I92" s="102"/>
      <c r="J92" s="104"/>
      <c r="K92" s="105"/>
      <c r="L92" s="105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</row>
    <row r="93" spans="1:27" ht="14.25" customHeight="1">
      <c r="A93" s="102"/>
      <c r="B93" s="102"/>
      <c r="C93" s="102"/>
      <c r="D93" s="102"/>
      <c r="E93" s="102"/>
      <c r="F93" s="102"/>
      <c r="G93" s="103"/>
      <c r="H93" s="102"/>
      <c r="I93" s="102"/>
      <c r="J93" s="104"/>
      <c r="K93" s="105"/>
      <c r="L93" s="105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</row>
    <row r="94" spans="1:27" ht="14.25" customHeight="1">
      <c r="A94" s="102"/>
      <c r="B94" s="102"/>
      <c r="C94" s="102"/>
      <c r="D94" s="102"/>
      <c r="E94" s="102"/>
      <c r="F94" s="102"/>
      <c r="G94" s="103"/>
      <c r="H94" s="102"/>
      <c r="I94" s="102"/>
      <c r="J94" s="104"/>
      <c r="K94" s="105"/>
      <c r="L94" s="105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</row>
    <row r="95" spans="1:27" ht="14.25" customHeight="1">
      <c r="A95" s="102"/>
      <c r="B95" s="102"/>
      <c r="C95" s="102"/>
      <c r="D95" s="102"/>
      <c r="E95" s="102"/>
      <c r="F95" s="102"/>
      <c r="G95" s="103"/>
      <c r="H95" s="102"/>
      <c r="I95" s="102"/>
      <c r="J95" s="104"/>
      <c r="K95" s="105"/>
      <c r="L95" s="105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</row>
    <row r="96" spans="1:27" ht="14.25" customHeight="1">
      <c r="A96" s="102"/>
      <c r="B96" s="102"/>
      <c r="C96" s="102"/>
      <c r="D96" s="102"/>
      <c r="E96" s="102"/>
      <c r="F96" s="102"/>
      <c r="G96" s="103"/>
      <c r="H96" s="102"/>
      <c r="I96" s="102"/>
      <c r="J96" s="104"/>
      <c r="K96" s="105"/>
      <c r="L96" s="105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</row>
    <row r="97" spans="1:27" ht="14.25" customHeight="1">
      <c r="A97" s="102"/>
      <c r="B97" s="102"/>
      <c r="C97" s="102"/>
      <c r="D97" s="102"/>
      <c r="E97" s="102"/>
      <c r="F97" s="102"/>
      <c r="G97" s="103"/>
      <c r="H97" s="102"/>
      <c r="I97" s="102"/>
      <c r="J97" s="104"/>
      <c r="K97" s="105"/>
      <c r="L97" s="105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  <c r="AA97" s="102"/>
    </row>
    <row r="98" spans="1:27" ht="14.25" customHeight="1">
      <c r="A98" s="102"/>
      <c r="B98" s="102"/>
      <c r="C98" s="102"/>
      <c r="D98" s="102"/>
      <c r="E98" s="102"/>
      <c r="F98" s="102"/>
      <c r="G98" s="103"/>
      <c r="H98" s="102"/>
      <c r="I98" s="102"/>
      <c r="J98" s="104"/>
      <c r="K98" s="105"/>
      <c r="L98" s="105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  <c r="AA98" s="102"/>
    </row>
    <row r="99" spans="1:27" ht="14.25" customHeight="1">
      <c r="A99" s="102"/>
      <c r="B99" s="102"/>
      <c r="C99" s="102"/>
      <c r="D99" s="102"/>
      <c r="E99" s="102"/>
      <c r="F99" s="102"/>
      <c r="G99" s="103"/>
      <c r="H99" s="102"/>
      <c r="I99" s="102"/>
      <c r="J99" s="104"/>
      <c r="K99" s="105"/>
      <c r="L99" s="105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</row>
    <row r="100" spans="1:27" ht="14.25" customHeight="1">
      <c r="A100" s="102"/>
      <c r="B100" s="102"/>
      <c r="C100" s="102"/>
      <c r="D100" s="102"/>
      <c r="E100" s="102"/>
      <c r="F100" s="102"/>
      <c r="G100" s="103"/>
      <c r="H100" s="102"/>
      <c r="I100" s="102"/>
      <c r="J100" s="104"/>
      <c r="K100" s="105"/>
      <c r="L100" s="105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</row>
    <row r="101" spans="1:27" ht="14.25" customHeight="1">
      <c r="A101" s="102"/>
      <c r="B101" s="102"/>
      <c r="C101" s="102"/>
      <c r="D101" s="102"/>
      <c r="E101" s="102"/>
      <c r="F101" s="102"/>
      <c r="G101" s="103"/>
      <c r="H101" s="102"/>
      <c r="I101" s="102"/>
      <c r="J101" s="104"/>
      <c r="K101" s="105"/>
      <c r="L101" s="105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</row>
    <row r="102" spans="1:27" ht="14.25" customHeight="1">
      <c r="A102" s="102"/>
      <c r="B102" s="102"/>
      <c r="C102" s="102"/>
      <c r="D102" s="102"/>
      <c r="E102" s="102"/>
      <c r="F102" s="102"/>
      <c r="G102" s="103"/>
      <c r="H102" s="102"/>
      <c r="I102" s="102"/>
      <c r="J102" s="104"/>
      <c r="K102" s="105"/>
      <c r="L102" s="105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</row>
    <row r="103" spans="1:27" ht="14.25" customHeight="1">
      <c r="A103" s="102"/>
      <c r="B103" s="102"/>
      <c r="C103" s="102"/>
      <c r="D103" s="102"/>
      <c r="E103" s="102"/>
      <c r="F103" s="102"/>
      <c r="G103" s="103"/>
      <c r="H103" s="102"/>
      <c r="I103" s="102"/>
      <c r="J103" s="104"/>
      <c r="K103" s="105"/>
      <c r="L103" s="105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</row>
    <row r="104" spans="1:27" ht="14.25" customHeight="1">
      <c r="A104" s="102"/>
      <c r="B104" s="102"/>
      <c r="C104" s="102"/>
      <c r="D104" s="102"/>
      <c r="E104" s="102"/>
      <c r="F104" s="102"/>
      <c r="G104" s="103"/>
      <c r="H104" s="102"/>
      <c r="I104" s="102"/>
      <c r="J104" s="104"/>
      <c r="K104" s="105"/>
      <c r="L104" s="105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</row>
    <row r="105" spans="1:27" ht="14.25" customHeight="1">
      <c r="A105" s="102"/>
      <c r="B105" s="102"/>
      <c r="C105" s="102"/>
      <c r="D105" s="102"/>
      <c r="E105" s="102"/>
      <c r="F105" s="102"/>
      <c r="G105" s="103"/>
      <c r="H105" s="102"/>
      <c r="I105" s="102"/>
      <c r="J105" s="104"/>
      <c r="K105" s="105"/>
      <c r="L105" s="105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  <c r="AA105" s="102"/>
    </row>
    <row r="106" spans="1:27" ht="14.25" customHeight="1">
      <c r="A106" s="102"/>
      <c r="B106" s="102"/>
      <c r="C106" s="102"/>
      <c r="D106" s="102"/>
      <c r="E106" s="102"/>
      <c r="F106" s="102"/>
      <c r="G106" s="103"/>
      <c r="H106" s="102"/>
      <c r="I106" s="102"/>
      <c r="J106" s="104"/>
      <c r="K106" s="105"/>
      <c r="L106" s="105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</row>
    <row r="107" spans="1:27" ht="14.25" customHeight="1">
      <c r="A107" s="102"/>
      <c r="B107" s="102"/>
      <c r="C107" s="102"/>
      <c r="D107" s="102"/>
      <c r="E107" s="102"/>
      <c r="F107" s="102"/>
      <c r="G107" s="103"/>
      <c r="H107" s="102"/>
      <c r="I107" s="102"/>
      <c r="J107" s="104"/>
      <c r="K107" s="105"/>
      <c r="L107" s="105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</row>
    <row r="108" spans="1:27" ht="14.25" customHeight="1">
      <c r="A108" s="102"/>
      <c r="B108" s="102"/>
      <c r="C108" s="102"/>
      <c r="D108" s="102"/>
      <c r="E108" s="102"/>
      <c r="F108" s="102"/>
      <c r="G108" s="103"/>
      <c r="H108" s="102"/>
      <c r="I108" s="102"/>
      <c r="J108" s="104"/>
      <c r="K108" s="105"/>
      <c r="L108" s="105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  <c r="AA108" s="102"/>
    </row>
    <row r="109" spans="1:27" ht="14.25" customHeight="1">
      <c r="A109" s="102"/>
      <c r="B109" s="102"/>
      <c r="C109" s="102"/>
      <c r="D109" s="102"/>
      <c r="E109" s="102"/>
      <c r="F109" s="102"/>
      <c r="G109" s="103"/>
      <c r="H109" s="102"/>
      <c r="I109" s="102"/>
      <c r="J109" s="104"/>
      <c r="K109" s="105"/>
      <c r="L109" s="105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</row>
    <row r="110" spans="1:27" ht="14.25" customHeight="1">
      <c r="A110" s="102"/>
      <c r="B110" s="102"/>
      <c r="C110" s="102"/>
      <c r="D110" s="102"/>
      <c r="E110" s="102"/>
      <c r="F110" s="102"/>
      <c r="G110" s="103"/>
      <c r="H110" s="102"/>
      <c r="I110" s="102"/>
      <c r="J110" s="104"/>
      <c r="K110" s="105"/>
      <c r="L110" s="105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</row>
    <row r="111" spans="1:27" ht="14.25" customHeight="1">
      <c r="A111" s="102"/>
      <c r="B111" s="102"/>
      <c r="C111" s="102"/>
      <c r="D111" s="102"/>
      <c r="E111" s="102"/>
      <c r="F111" s="102"/>
      <c r="G111" s="103"/>
      <c r="H111" s="102"/>
      <c r="I111" s="102"/>
      <c r="J111" s="104"/>
      <c r="K111" s="105"/>
      <c r="L111" s="105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</row>
    <row r="112" spans="1:27" ht="14.25" customHeight="1">
      <c r="A112" s="102"/>
      <c r="B112" s="102"/>
      <c r="C112" s="102"/>
      <c r="D112" s="102"/>
      <c r="E112" s="102"/>
      <c r="F112" s="102"/>
      <c r="G112" s="103"/>
      <c r="H112" s="102"/>
      <c r="I112" s="102"/>
      <c r="J112" s="104"/>
      <c r="K112" s="105"/>
      <c r="L112" s="105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</row>
    <row r="113" spans="1:27" ht="14.25" customHeight="1">
      <c r="A113" s="102"/>
      <c r="B113" s="102"/>
      <c r="C113" s="102"/>
      <c r="D113" s="102"/>
      <c r="E113" s="102"/>
      <c r="F113" s="102"/>
      <c r="G113" s="103"/>
      <c r="H113" s="102"/>
      <c r="I113" s="102"/>
      <c r="J113" s="104"/>
      <c r="K113" s="105"/>
      <c r="L113" s="105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  <c r="AA113" s="102"/>
    </row>
    <row r="114" spans="1:27" ht="14.25" customHeight="1">
      <c r="A114" s="102"/>
      <c r="B114" s="102"/>
      <c r="C114" s="102"/>
      <c r="D114" s="102"/>
      <c r="E114" s="102"/>
      <c r="F114" s="102"/>
      <c r="G114" s="103"/>
      <c r="H114" s="102"/>
      <c r="I114" s="102"/>
      <c r="J114" s="104"/>
      <c r="K114" s="105"/>
      <c r="L114" s="105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</row>
    <row r="115" spans="1:27" ht="14.25" customHeight="1">
      <c r="A115" s="102"/>
      <c r="B115" s="102"/>
      <c r="C115" s="102"/>
      <c r="D115" s="102"/>
      <c r="E115" s="102"/>
      <c r="F115" s="102"/>
      <c r="G115" s="103"/>
      <c r="H115" s="102"/>
      <c r="I115" s="102"/>
      <c r="J115" s="104"/>
      <c r="K115" s="105"/>
      <c r="L115" s="105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</row>
    <row r="116" spans="1:27" ht="14.25" customHeight="1">
      <c r="A116" s="102"/>
      <c r="B116" s="102"/>
      <c r="C116" s="102"/>
      <c r="D116" s="102"/>
      <c r="E116" s="102"/>
      <c r="F116" s="102"/>
      <c r="G116" s="103"/>
      <c r="H116" s="102"/>
      <c r="I116" s="102"/>
      <c r="J116" s="104"/>
      <c r="K116" s="105"/>
      <c r="L116" s="105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</row>
    <row r="117" spans="1:27" ht="14.25" customHeight="1">
      <c r="A117" s="102"/>
      <c r="B117" s="102"/>
      <c r="C117" s="102"/>
      <c r="D117" s="102"/>
      <c r="E117" s="102"/>
      <c r="F117" s="102"/>
      <c r="G117" s="103"/>
      <c r="H117" s="102"/>
      <c r="I117" s="102"/>
      <c r="J117" s="104"/>
      <c r="K117" s="105"/>
      <c r="L117" s="105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</row>
    <row r="118" spans="1:27" ht="14.25" customHeight="1">
      <c r="A118" s="102"/>
      <c r="B118" s="102"/>
      <c r="C118" s="102"/>
      <c r="D118" s="102"/>
      <c r="E118" s="102"/>
      <c r="F118" s="102"/>
      <c r="G118" s="103"/>
      <c r="H118" s="102"/>
      <c r="I118" s="102"/>
      <c r="J118" s="104"/>
      <c r="K118" s="105"/>
      <c r="L118" s="105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</row>
    <row r="119" spans="1:27" ht="14.25" customHeight="1">
      <c r="A119" s="102"/>
      <c r="B119" s="102"/>
      <c r="C119" s="102"/>
      <c r="D119" s="102"/>
      <c r="E119" s="102"/>
      <c r="F119" s="102"/>
      <c r="G119" s="103"/>
      <c r="H119" s="102"/>
      <c r="I119" s="102"/>
      <c r="J119" s="104"/>
      <c r="K119" s="105"/>
      <c r="L119" s="105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</row>
    <row r="120" spans="1:27" ht="14.25" customHeight="1">
      <c r="A120" s="102"/>
      <c r="B120" s="102"/>
      <c r="C120" s="102"/>
      <c r="D120" s="102"/>
      <c r="E120" s="102"/>
      <c r="F120" s="102"/>
      <c r="G120" s="103"/>
      <c r="H120" s="102"/>
      <c r="I120" s="102"/>
      <c r="J120" s="104"/>
      <c r="K120" s="105"/>
      <c r="L120" s="105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  <c r="AA120" s="102"/>
    </row>
    <row r="121" spans="1:27" ht="14.25" customHeight="1">
      <c r="A121" s="102"/>
      <c r="B121" s="102"/>
      <c r="C121" s="102"/>
      <c r="D121" s="102"/>
      <c r="E121" s="102"/>
      <c r="F121" s="102"/>
      <c r="G121" s="103"/>
      <c r="H121" s="102"/>
      <c r="I121" s="102"/>
      <c r="J121" s="104"/>
      <c r="K121" s="105"/>
      <c r="L121" s="105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</row>
    <row r="122" spans="1:27" ht="14.25" customHeight="1">
      <c r="A122" s="102"/>
      <c r="B122" s="102"/>
      <c r="C122" s="102"/>
      <c r="D122" s="102"/>
      <c r="E122" s="102"/>
      <c r="F122" s="102"/>
      <c r="G122" s="103"/>
      <c r="H122" s="102"/>
      <c r="I122" s="102"/>
      <c r="J122" s="104"/>
      <c r="K122" s="105"/>
      <c r="L122" s="105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</row>
    <row r="123" spans="1:27" ht="14.25" customHeight="1">
      <c r="A123" s="102"/>
      <c r="B123" s="102"/>
      <c r="C123" s="102"/>
      <c r="D123" s="102"/>
      <c r="E123" s="102"/>
      <c r="F123" s="102"/>
      <c r="G123" s="103"/>
      <c r="H123" s="102"/>
      <c r="I123" s="102"/>
      <c r="J123" s="104"/>
      <c r="K123" s="105"/>
      <c r="L123" s="105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</row>
    <row r="124" spans="1:27" ht="14.25" customHeight="1">
      <c r="A124" s="102"/>
      <c r="B124" s="102"/>
      <c r="C124" s="102"/>
      <c r="D124" s="102"/>
      <c r="E124" s="102"/>
      <c r="F124" s="102"/>
      <c r="G124" s="103"/>
      <c r="H124" s="102"/>
      <c r="I124" s="102"/>
      <c r="J124" s="104"/>
      <c r="K124" s="105"/>
      <c r="L124" s="105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</row>
    <row r="125" spans="1:27" ht="14.25" customHeight="1">
      <c r="A125" s="102"/>
      <c r="B125" s="102"/>
      <c r="C125" s="102"/>
      <c r="D125" s="102"/>
      <c r="E125" s="102"/>
      <c r="F125" s="102"/>
      <c r="G125" s="103"/>
      <c r="H125" s="102"/>
      <c r="I125" s="102"/>
      <c r="J125" s="104"/>
      <c r="K125" s="105"/>
      <c r="L125" s="105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</row>
    <row r="126" spans="1:27" ht="14.25" customHeight="1">
      <c r="A126" s="102"/>
      <c r="B126" s="102"/>
      <c r="C126" s="102"/>
      <c r="D126" s="102"/>
      <c r="E126" s="102"/>
      <c r="F126" s="102"/>
      <c r="G126" s="103"/>
      <c r="H126" s="102"/>
      <c r="I126" s="102"/>
      <c r="J126" s="104"/>
      <c r="K126" s="105"/>
      <c r="L126" s="105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  <c r="AA126" s="102"/>
    </row>
    <row r="127" spans="1:27" ht="14.25" customHeight="1">
      <c r="A127" s="102"/>
      <c r="B127" s="102"/>
      <c r="C127" s="102"/>
      <c r="D127" s="102"/>
      <c r="E127" s="102"/>
      <c r="F127" s="102"/>
      <c r="G127" s="103"/>
      <c r="H127" s="102"/>
      <c r="I127" s="102"/>
      <c r="J127" s="104"/>
      <c r="K127" s="105"/>
      <c r="L127" s="105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</row>
    <row r="128" spans="1:27" ht="14.25" customHeight="1">
      <c r="A128" s="102"/>
      <c r="B128" s="102"/>
      <c r="C128" s="102"/>
      <c r="D128" s="102"/>
      <c r="E128" s="102"/>
      <c r="F128" s="102"/>
      <c r="G128" s="103"/>
      <c r="H128" s="102"/>
      <c r="I128" s="102"/>
      <c r="J128" s="104"/>
      <c r="K128" s="105"/>
      <c r="L128" s="105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</row>
    <row r="129" spans="1:27" ht="14.25" customHeight="1">
      <c r="A129" s="102"/>
      <c r="B129" s="102"/>
      <c r="C129" s="102"/>
      <c r="D129" s="102"/>
      <c r="E129" s="102"/>
      <c r="F129" s="102"/>
      <c r="G129" s="103"/>
      <c r="H129" s="102"/>
      <c r="I129" s="102"/>
      <c r="J129" s="104"/>
      <c r="K129" s="105"/>
      <c r="L129" s="105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  <c r="AA129" s="102"/>
    </row>
    <row r="130" spans="1:27" ht="14.25" customHeight="1">
      <c r="A130" s="102"/>
      <c r="B130" s="102"/>
      <c r="C130" s="102"/>
      <c r="D130" s="102"/>
      <c r="E130" s="102"/>
      <c r="F130" s="102"/>
      <c r="G130" s="103"/>
      <c r="H130" s="102"/>
      <c r="I130" s="102"/>
      <c r="J130" s="104"/>
      <c r="K130" s="105"/>
      <c r="L130" s="105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  <c r="AA130" s="102"/>
    </row>
    <row r="131" spans="1:27" ht="14.25" customHeight="1">
      <c r="A131" s="102"/>
      <c r="B131" s="102"/>
      <c r="C131" s="102"/>
      <c r="D131" s="102"/>
      <c r="E131" s="102"/>
      <c r="F131" s="102"/>
      <c r="G131" s="103"/>
      <c r="H131" s="102"/>
      <c r="I131" s="102"/>
      <c r="J131" s="104"/>
      <c r="K131" s="105"/>
      <c r="L131" s="105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</row>
    <row r="132" spans="1:27" ht="14.25" customHeight="1">
      <c r="A132" s="102"/>
      <c r="B132" s="102"/>
      <c r="C132" s="102"/>
      <c r="D132" s="102"/>
      <c r="E132" s="102"/>
      <c r="F132" s="102"/>
      <c r="G132" s="103"/>
      <c r="H132" s="102"/>
      <c r="I132" s="102"/>
      <c r="J132" s="104"/>
      <c r="K132" s="105"/>
      <c r="L132" s="105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</row>
    <row r="133" spans="1:27" ht="14.25" customHeight="1">
      <c r="A133" s="102"/>
      <c r="B133" s="102"/>
      <c r="C133" s="102"/>
      <c r="D133" s="102"/>
      <c r="E133" s="102"/>
      <c r="F133" s="102"/>
      <c r="G133" s="103"/>
      <c r="H133" s="102"/>
      <c r="I133" s="102"/>
      <c r="J133" s="104"/>
      <c r="K133" s="105"/>
      <c r="L133" s="105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</row>
    <row r="134" spans="1:27" ht="14.25" customHeight="1">
      <c r="A134" s="102"/>
      <c r="B134" s="102"/>
      <c r="C134" s="102"/>
      <c r="D134" s="102"/>
      <c r="E134" s="102"/>
      <c r="F134" s="102"/>
      <c r="G134" s="103"/>
      <c r="H134" s="102"/>
      <c r="I134" s="102"/>
      <c r="J134" s="104"/>
      <c r="K134" s="105"/>
      <c r="L134" s="105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2"/>
    </row>
    <row r="135" spans="1:27" ht="14.25" customHeight="1">
      <c r="A135" s="102"/>
      <c r="B135" s="102"/>
      <c r="C135" s="102"/>
      <c r="D135" s="102"/>
      <c r="E135" s="102"/>
      <c r="F135" s="102"/>
      <c r="G135" s="103"/>
      <c r="H135" s="102"/>
      <c r="I135" s="102"/>
      <c r="J135" s="104"/>
      <c r="K135" s="105"/>
      <c r="L135" s="105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  <c r="AA135" s="102"/>
    </row>
    <row r="136" spans="1:27" ht="14.25" customHeight="1">
      <c r="A136" s="102"/>
      <c r="B136" s="102"/>
      <c r="C136" s="102"/>
      <c r="D136" s="102"/>
      <c r="E136" s="102"/>
      <c r="F136" s="102"/>
      <c r="G136" s="103"/>
      <c r="H136" s="102"/>
      <c r="I136" s="102"/>
      <c r="J136" s="104"/>
      <c r="K136" s="105"/>
      <c r="L136" s="105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</row>
    <row r="137" spans="1:27" ht="14.25" customHeight="1">
      <c r="A137" s="102"/>
      <c r="B137" s="102"/>
      <c r="C137" s="102"/>
      <c r="D137" s="102"/>
      <c r="E137" s="102"/>
      <c r="F137" s="102"/>
      <c r="G137" s="103"/>
      <c r="H137" s="102"/>
      <c r="I137" s="102"/>
      <c r="J137" s="104"/>
      <c r="K137" s="105"/>
      <c r="L137" s="105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  <c r="AA137" s="102"/>
    </row>
    <row r="138" spans="1:27" ht="14.25" customHeight="1">
      <c r="A138" s="102"/>
      <c r="B138" s="102"/>
      <c r="C138" s="102"/>
      <c r="D138" s="102"/>
      <c r="E138" s="102"/>
      <c r="F138" s="102"/>
      <c r="G138" s="103"/>
      <c r="H138" s="102"/>
      <c r="I138" s="102"/>
      <c r="J138" s="104"/>
      <c r="K138" s="105"/>
      <c r="L138" s="105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</row>
    <row r="139" spans="1:27" ht="14.25" customHeight="1">
      <c r="A139" s="102"/>
      <c r="B139" s="102"/>
      <c r="C139" s="102"/>
      <c r="D139" s="102"/>
      <c r="E139" s="102"/>
      <c r="F139" s="102"/>
      <c r="G139" s="103"/>
      <c r="H139" s="102"/>
      <c r="I139" s="102"/>
      <c r="J139" s="104"/>
      <c r="K139" s="105"/>
      <c r="L139" s="105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  <c r="AA139" s="102"/>
    </row>
    <row r="140" spans="1:27" ht="14.25" customHeight="1">
      <c r="A140" s="102"/>
      <c r="B140" s="102"/>
      <c r="C140" s="102"/>
      <c r="D140" s="102"/>
      <c r="E140" s="102"/>
      <c r="F140" s="102"/>
      <c r="G140" s="103"/>
      <c r="H140" s="102"/>
      <c r="I140" s="102"/>
      <c r="J140" s="104"/>
      <c r="K140" s="105"/>
      <c r="L140" s="105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</row>
    <row r="141" spans="1:27" ht="14.25" customHeight="1">
      <c r="A141" s="102"/>
      <c r="B141" s="102"/>
      <c r="C141" s="102"/>
      <c r="D141" s="102"/>
      <c r="E141" s="102"/>
      <c r="F141" s="102"/>
      <c r="G141" s="103"/>
      <c r="H141" s="102"/>
      <c r="I141" s="102"/>
      <c r="J141" s="104"/>
      <c r="K141" s="105"/>
      <c r="L141" s="105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  <c r="AA141" s="102"/>
    </row>
    <row r="142" spans="1:27" ht="14.25" customHeight="1">
      <c r="A142" s="102"/>
      <c r="B142" s="102"/>
      <c r="C142" s="102"/>
      <c r="D142" s="102"/>
      <c r="E142" s="102"/>
      <c r="F142" s="102"/>
      <c r="G142" s="103"/>
      <c r="H142" s="102"/>
      <c r="I142" s="102"/>
      <c r="J142" s="104"/>
      <c r="K142" s="105"/>
      <c r="L142" s="105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  <c r="AA142" s="102"/>
    </row>
    <row r="143" spans="1:27" ht="14.25" customHeight="1">
      <c r="A143" s="102"/>
      <c r="B143" s="102"/>
      <c r="C143" s="102"/>
      <c r="D143" s="102"/>
      <c r="E143" s="102"/>
      <c r="F143" s="102"/>
      <c r="G143" s="103"/>
      <c r="H143" s="102"/>
      <c r="I143" s="102"/>
      <c r="J143" s="104"/>
      <c r="K143" s="105"/>
      <c r="L143" s="105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</row>
    <row r="144" spans="1:27" ht="14.25" customHeight="1">
      <c r="A144" s="102"/>
      <c r="B144" s="102"/>
      <c r="C144" s="102"/>
      <c r="D144" s="102"/>
      <c r="E144" s="102"/>
      <c r="F144" s="102"/>
      <c r="G144" s="103"/>
      <c r="H144" s="102"/>
      <c r="I144" s="102"/>
      <c r="J144" s="104"/>
      <c r="K144" s="105"/>
      <c r="L144" s="105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  <c r="AA144" s="102"/>
    </row>
    <row r="145" spans="1:27" ht="14.25" customHeight="1">
      <c r="A145" s="102"/>
      <c r="B145" s="102"/>
      <c r="C145" s="102"/>
      <c r="D145" s="102"/>
      <c r="E145" s="102"/>
      <c r="F145" s="102"/>
      <c r="G145" s="103"/>
      <c r="H145" s="102"/>
      <c r="I145" s="102"/>
      <c r="J145" s="104"/>
      <c r="K145" s="105"/>
      <c r="L145" s="105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</row>
    <row r="146" spans="1:27" ht="14.25" customHeight="1">
      <c r="A146" s="102"/>
      <c r="B146" s="102"/>
      <c r="C146" s="102"/>
      <c r="D146" s="102"/>
      <c r="E146" s="102"/>
      <c r="F146" s="102"/>
      <c r="G146" s="103"/>
      <c r="H146" s="102"/>
      <c r="I146" s="102"/>
      <c r="J146" s="104"/>
      <c r="K146" s="105"/>
      <c r="L146" s="105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</row>
    <row r="147" spans="1:27" ht="14.25" customHeight="1">
      <c r="A147" s="102"/>
      <c r="B147" s="102"/>
      <c r="C147" s="102"/>
      <c r="D147" s="102"/>
      <c r="E147" s="102"/>
      <c r="F147" s="102"/>
      <c r="G147" s="103"/>
      <c r="H147" s="102"/>
      <c r="I147" s="102"/>
      <c r="J147" s="104"/>
      <c r="K147" s="105"/>
      <c r="L147" s="105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</row>
    <row r="148" spans="1:27" ht="14.25" customHeight="1">
      <c r="A148" s="102"/>
      <c r="B148" s="102"/>
      <c r="C148" s="102"/>
      <c r="D148" s="102"/>
      <c r="E148" s="102"/>
      <c r="F148" s="102"/>
      <c r="G148" s="103"/>
      <c r="H148" s="102"/>
      <c r="I148" s="102"/>
      <c r="J148" s="104"/>
      <c r="K148" s="105"/>
      <c r="L148" s="105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  <c r="AA148" s="102"/>
    </row>
    <row r="149" spans="1:27" ht="14.25" customHeight="1">
      <c r="A149" s="102"/>
      <c r="B149" s="102"/>
      <c r="C149" s="102"/>
      <c r="D149" s="102"/>
      <c r="E149" s="102"/>
      <c r="F149" s="102"/>
      <c r="G149" s="103"/>
      <c r="H149" s="102"/>
      <c r="I149" s="102"/>
      <c r="J149" s="104"/>
      <c r="K149" s="105"/>
      <c r="L149" s="105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</row>
    <row r="150" spans="1:27" ht="14.25" customHeight="1">
      <c r="A150" s="102"/>
      <c r="B150" s="102"/>
      <c r="C150" s="102"/>
      <c r="D150" s="102"/>
      <c r="E150" s="102"/>
      <c r="F150" s="102"/>
      <c r="G150" s="103"/>
      <c r="H150" s="102"/>
      <c r="I150" s="102"/>
      <c r="J150" s="104"/>
      <c r="K150" s="105"/>
      <c r="L150" s="105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</row>
    <row r="151" spans="1:27" ht="14.25" customHeight="1">
      <c r="A151" s="102"/>
      <c r="B151" s="102"/>
      <c r="C151" s="102"/>
      <c r="D151" s="102"/>
      <c r="E151" s="102"/>
      <c r="F151" s="102"/>
      <c r="G151" s="103"/>
      <c r="H151" s="102"/>
      <c r="I151" s="102"/>
      <c r="J151" s="104"/>
      <c r="K151" s="105"/>
      <c r="L151" s="105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</row>
    <row r="152" spans="1:27" ht="14.25" customHeight="1">
      <c r="A152" s="102"/>
      <c r="B152" s="102"/>
      <c r="C152" s="102"/>
      <c r="D152" s="102"/>
      <c r="E152" s="102"/>
      <c r="F152" s="102"/>
      <c r="G152" s="103"/>
      <c r="H152" s="102"/>
      <c r="I152" s="102"/>
      <c r="J152" s="104"/>
      <c r="K152" s="105"/>
      <c r="L152" s="105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</row>
    <row r="153" spans="1:27" ht="14.25" customHeight="1">
      <c r="A153" s="102"/>
      <c r="B153" s="102"/>
      <c r="C153" s="102"/>
      <c r="D153" s="102"/>
      <c r="E153" s="102"/>
      <c r="F153" s="102"/>
      <c r="G153" s="103"/>
      <c r="H153" s="102"/>
      <c r="I153" s="102"/>
      <c r="J153" s="104"/>
      <c r="K153" s="105"/>
      <c r="L153" s="105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</row>
    <row r="154" spans="1:27" ht="14.25" customHeight="1">
      <c r="A154" s="102"/>
      <c r="B154" s="102"/>
      <c r="C154" s="102"/>
      <c r="D154" s="102"/>
      <c r="E154" s="102"/>
      <c r="F154" s="102"/>
      <c r="G154" s="103"/>
      <c r="H154" s="102"/>
      <c r="I154" s="102"/>
      <c r="J154" s="104"/>
      <c r="K154" s="105"/>
      <c r="L154" s="105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</row>
    <row r="155" spans="1:27" ht="14.25" customHeight="1">
      <c r="A155" s="102"/>
      <c r="B155" s="102"/>
      <c r="C155" s="102"/>
      <c r="D155" s="102"/>
      <c r="E155" s="102"/>
      <c r="F155" s="102"/>
      <c r="G155" s="103"/>
      <c r="H155" s="102"/>
      <c r="I155" s="102"/>
      <c r="J155" s="104"/>
      <c r="K155" s="105"/>
      <c r="L155" s="105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  <c r="AA155" s="102"/>
    </row>
    <row r="156" spans="1:27" ht="14.25" customHeight="1">
      <c r="A156" s="102"/>
      <c r="B156" s="102"/>
      <c r="C156" s="102"/>
      <c r="D156" s="102"/>
      <c r="E156" s="102"/>
      <c r="F156" s="102"/>
      <c r="G156" s="103"/>
      <c r="H156" s="102"/>
      <c r="I156" s="102"/>
      <c r="J156" s="104"/>
      <c r="K156" s="105"/>
      <c r="L156" s="105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</row>
    <row r="157" spans="1:27" ht="14.25" customHeight="1">
      <c r="A157" s="102"/>
      <c r="B157" s="102"/>
      <c r="C157" s="102"/>
      <c r="D157" s="102"/>
      <c r="E157" s="102"/>
      <c r="F157" s="102"/>
      <c r="G157" s="103"/>
      <c r="H157" s="102"/>
      <c r="I157" s="102"/>
      <c r="J157" s="104"/>
      <c r="K157" s="105"/>
      <c r="L157" s="105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</row>
    <row r="158" spans="1:27" ht="14.25" customHeight="1">
      <c r="A158" s="102"/>
      <c r="B158" s="102"/>
      <c r="C158" s="102"/>
      <c r="D158" s="102"/>
      <c r="E158" s="102"/>
      <c r="F158" s="102"/>
      <c r="G158" s="103"/>
      <c r="H158" s="102"/>
      <c r="I158" s="102"/>
      <c r="J158" s="104"/>
      <c r="K158" s="105"/>
      <c r="L158" s="105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</row>
    <row r="159" spans="1:27" ht="14.25" customHeight="1">
      <c r="A159" s="102"/>
      <c r="B159" s="102"/>
      <c r="C159" s="102"/>
      <c r="D159" s="102"/>
      <c r="E159" s="102"/>
      <c r="F159" s="102"/>
      <c r="G159" s="103"/>
      <c r="H159" s="102"/>
      <c r="I159" s="102"/>
      <c r="J159" s="104"/>
      <c r="K159" s="105"/>
      <c r="L159" s="105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</row>
    <row r="160" spans="1:27" ht="14.25" customHeight="1">
      <c r="A160" s="102"/>
      <c r="B160" s="102"/>
      <c r="C160" s="102"/>
      <c r="D160" s="102"/>
      <c r="E160" s="102"/>
      <c r="F160" s="102"/>
      <c r="G160" s="103"/>
      <c r="H160" s="102"/>
      <c r="I160" s="102"/>
      <c r="J160" s="104"/>
      <c r="K160" s="105"/>
      <c r="L160" s="105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</row>
    <row r="161" spans="1:27" ht="14.25" customHeight="1">
      <c r="A161" s="102"/>
      <c r="B161" s="102"/>
      <c r="C161" s="102"/>
      <c r="D161" s="102"/>
      <c r="E161" s="102"/>
      <c r="F161" s="102"/>
      <c r="G161" s="103"/>
      <c r="H161" s="102"/>
      <c r="I161" s="102"/>
      <c r="J161" s="104"/>
      <c r="K161" s="105"/>
      <c r="L161" s="105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</row>
    <row r="162" spans="1:27" ht="14.25" customHeight="1">
      <c r="A162" s="102"/>
      <c r="B162" s="102"/>
      <c r="C162" s="102"/>
      <c r="D162" s="102"/>
      <c r="E162" s="102"/>
      <c r="F162" s="102"/>
      <c r="G162" s="103"/>
      <c r="H162" s="102"/>
      <c r="I162" s="102"/>
      <c r="J162" s="104"/>
      <c r="K162" s="105"/>
      <c r="L162" s="105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</row>
    <row r="163" spans="1:27" ht="14.25" customHeight="1">
      <c r="A163" s="102"/>
      <c r="B163" s="102"/>
      <c r="C163" s="102"/>
      <c r="D163" s="102"/>
      <c r="E163" s="102"/>
      <c r="F163" s="102"/>
      <c r="G163" s="103"/>
      <c r="H163" s="102"/>
      <c r="I163" s="102"/>
      <c r="J163" s="104"/>
      <c r="K163" s="105"/>
      <c r="L163" s="105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</row>
    <row r="164" spans="1:27" ht="14.25" customHeight="1">
      <c r="A164" s="102"/>
      <c r="B164" s="102"/>
      <c r="C164" s="102"/>
      <c r="D164" s="102"/>
      <c r="E164" s="102"/>
      <c r="F164" s="102"/>
      <c r="G164" s="103"/>
      <c r="H164" s="102"/>
      <c r="I164" s="102"/>
      <c r="J164" s="104"/>
      <c r="K164" s="105"/>
      <c r="L164" s="105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</row>
    <row r="165" spans="1:27" ht="14.25" customHeight="1">
      <c r="A165" s="102"/>
      <c r="B165" s="102"/>
      <c r="C165" s="102"/>
      <c r="D165" s="102"/>
      <c r="E165" s="102"/>
      <c r="F165" s="102"/>
      <c r="G165" s="103"/>
      <c r="H165" s="102"/>
      <c r="I165" s="102"/>
      <c r="J165" s="104"/>
      <c r="K165" s="105"/>
      <c r="L165" s="105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</row>
    <row r="166" spans="1:27" ht="14.25" customHeight="1">
      <c r="A166" s="102"/>
      <c r="B166" s="102"/>
      <c r="C166" s="102"/>
      <c r="D166" s="102"/>
      <c r="E166" s="102"/>
      <c r="F166" s="102"/>
      <c r="G166" s="103"/>
      <c r="H166" s="102"/>
      <c r="I166" s="102"/>
      <c r="J166" s="104"/>
      <c r="K166" s="105"/>
      <c r="L166" s="105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</row>
    <row r="167" spans="1:27" ht="14.25" customHeight="1">
      <c r="A167" s="102"/>
      <c r="B167" s="102"/>
      <c r="C167" s="102"/>
      <c r="D167" s="102"/>
      <c r="E167" s="102"/>
      <c r="F167" s="102"/>
      <c r="G167" s="103"/>
      <c r="H167" s="102"/>
      <c r="I167" s="102"/>
      <c r="J167" s="104"/>
      <c r="K167" s="105"/>
      <c r="L167" s="105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</row>
    <row r="168" spans="1:27" ht="14.25" customHeight="1">
      <c r="A168" s="102"/>
      <c r="B168" s="102"/>
      <c r="C168" s="102"/>
      <c r="D168" s="102"/>
      <c r="E168" s="102"/>
      <c r="F168" s="102"/>
      <c r="G168" s="103"/>
      <c r="H168" s="102"/>
      <c r="I168" s="102"/>
      <c r="J168" s="104"/>
      <c r="K168" s="105"/>
      <c r="L168" s="105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</row>
    <row r="169" spans="1:27" ht="14.25" customHeight="1">
      <c r="A169" s="102"/>
      <c r="B169" s="102"/>
      <c r="C169" s="102"/>
      <c r="D169" s="102"/>
      <c r="E169" s="102"/>
      <c r="F169" s="102"/>
      <c r="G169" s="103"/>
      <c r="H169" s="102"/>
      <c r="I169" s="102"/>
      <c r="J169" s="104"/>
      <c r="K169" s="105"/>
      <c r="L169" s="105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</row>
    <row r="170" spans="1:27" ht="14.25" customHeight="1">
      <c r="A170" s="102"/>
      <c r="B170" s="102"/>
      <c r="C170" s="102"/>
      <c r="D170" s="102"/>
      <c r="E170" s="102"/>
      <c r="F170" s="102"/>
      <c r="G170" s="103"/>
      <c r="H170" s="102"/>
      <c r="I170" s="102"/>
      <c r="J170" s="104"/>
      <c r="K170" s="105"/>
      <c r="L170" s="105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</row>
    <row r="171" spans="1:27" ht="14.25" customHeight="1">
      <c r="A171" s="102"/>
      <c r="B171" s="102"/>
      <c r="C171" s="102"/>
      <c r="D171" s="102"/>
      <c r="E171" s="102"/>
      <c r="F171" s="102"/>
      <c r="G171" s="103"/>
      <c r="H171" s="102"/>
      <c r="I171" s="102"/>
      <c r="J171" s="104"/>
      <c r="K171" s="105"/>
      <c r="L171" s="105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</row>
    <row r="172" spans="1:27" ht="14.25" customHeight="1">
      <c r="A172" s="102"/>
      <c r="B172" s="102"/>
      <c r="C172" s="102"/>
      <c r="D172" s="102"/>
      <c r="E172" s="102"/>
      <c r="F172" s="102"/>
      <c r="G172" s="103"/>
      <c r="H172" s="102"/>
      <c r="I172" s="102"/>
      <c r="J172" s="104"/>
      <c r="K172" s="105"/>
      <c r="L172" s="105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</row>
    <row r="173" spans="1:27" ht="14.25" customHeight="1">
      <c r="A173" s="102"/>
      <c r="B173" s="102"/>
      <c r="C173" s="102"/>
      <c r="D173" s="102"/>
      <c r="E173" s="102"/>
      <c r="F173" s="102"/>
      <c r="G173" s="103"/>
      <c r="H173" s="102"/>
      <c r="I173" s="102"/>
      <c r="J173" s="104"/>
      <c r="K173" s="105"/>
      <c r="L173" s="105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</row>
    <row r="174" spans="1:27" ht="14.25" customHeight="1">
      <c r="A174" s="102"/>
      <c r="B174" s="102"/>
      <c r="C174" s="102"/>
      <c r="D174" s="102"/>
      <c r="E174" s="102"/>
      <c r="F174" s="102"/>
      <c r="G174" s="103"/>
      <c r="H174" s="102"/>
      <c r="I174" s="102"/>
      <c r="J174" s="104"/>
      <c r="K174" s="105"/>
      <c r="L174" s="105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</row>
    <row r="175" spans="1:27" ht="14.25" customHeight="1">
      <c r="A175" s="102"/>
      <c r="B175" s="102"/>
      <c r="C175" s="102"/>
      <c r="D175" s="102"/>
      <c r="E175" s="102"/>
      <c r="F175" s="102"/>
      <c r="G175" s="103"/>
      <c r="H175" s="102"/>
      <c r="I175" s="102"/>
      <c r="J175" s="104"/>
      <c r="K175" s="105"/>
      <c r="L175" s="105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</row>
    <row r="176" spans="1:27" ht="14.25" customHeight="1">
      <c r="A176" s="102"/>
      <c r="B176" s="102"/>
      <c r="C176" s="102"/>
      <c r="D176" s="102"/>
      <c r="E176" s="102"/>
      <c r="F176" s="102"/>
      <c r="G176" s="103"/>
      <c r="H176" s="102"/>
      <c r="I176" s="102"/>
      <c r="J176" s="104"/>
      <c r="K176" s="105"/>
      <c r="L176" s="105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</row>
    <row r="177" spans="1:27" ht="14.25" customHeight="1">
      <c r="A177" s="102"/>
      <c r="B177" s="102"/>
      <c r="C177" s="102"/>
      <c r="D177" s="102"/>
      <c r="E177" s="102"/>
      <c r="F177" s="102"/>
      <c r="G177" s="103"/>
      <c r="H177" s="102"/>
      <c r="I177" s="102"/>
      <c r="J177" s="104"/>
      <c r="K177" s="105"/>
      <c r="L177" s="105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</row>
    <row r="178" spans="1:27" ht="14.25" customHeight="1">
      <c r="A178" s="102"/>
      <c r="B178" s="102"/>
      <c r="C178" s="102"/>
      <c r="D178" s="102"/>
      <c r="E178" s="102"/>
      <c r="F178" s="102"/>
      <c r="G178" s="103"/>
      <c r="H178" s="102"/>
      <c r="I178" s="102"/>
      <c r="J178" s="104"/>
      <c r="K178" s="105"/>
      <c r="L178" s="105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</row>
    <row r="179" spans="1:27" ht="14.25" customHeight="1">
      <c r="A179" s="102"/>
      <c r="B179" s="102"/>
      <c r="C179" s="102"/>
      <c r="D179" s="102"/>
      <c r="E179" s="102"/>
      <c r="F179" s="102"/>
      <c r="G179" s="103"/>
      <c r="H179" s="102"/>
      <c r="I179" s="102"/>
      <c r="J179" s="104"/>
      <c r="K179" s="105"/>
      <c r="L179" s="105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</row>
    <row r="180" spans="1:27" ht="14.25" customHeight="1">
      <c r="A180" s="102"/>
      <c r="B180" s="102"/>
      <c r="C180" s="102"/>
      <c r="D180" s="102"/>
      <c r="E180" s="102"/>
      <c r="F180" s="102"/>
      <c r="G180" s="103"/>
      <c r="H180" s="102"/>
      <c r="I180" s="102"/>
      <c r="J180" s="104"/>
      <c r="K180" s="105"/>
      <c r="L180" s="105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</row>
    <row r="181" spans="1:27" ht="14.25" customHeight="1">
      <c r="A181" s="102"/>
      <c r="B181" s="102"/>
      <c r="C181" s="102"/>
      <c r="D181" s="102"/>
      <c r="E181" s="102"/>
      <c r="F181" s="102"/>
      <c r="G181" s="103"/>
      <c r="H181" s="102"/>
      <c r="I181" s="102"/>
      <c r="J181" s="104"/>
      <c r="K181" s="105"/>
      <c r="L181" s="105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</row>
    <row r="182" spans="1:27" ht="14.25" customHeight="1">
      <c r="A182" s="102"/>
      <c r="B182" s="102"/>
      <c r="C182" s="102"/>
      <c r="D182" s="102"/>
      <c r="E182" s="102"/>
      <c r="F182" s="102"/>
      <c r="G182" s="103"/>
      <c r="H182" s="102"/>
      <c r="I182" s="102"/>
      <c r="J182" s="104"/>
      <c r="K182" s="105"/>
      <c r="L182" s="105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</row>
    <row r="183" spans="1:27" ht="14.25" customHeight="1">
      <c r="A183" s="102"/>
      <c r="B183" s="102"/>
      <c r="C183" s="102"/>
      <c r="D183" s="102"/>
      <c r="E183" s="102"/>
      <c r="F183" s="102"/>
      <c r="G183" s="103"/>
      <c r="H183" s="102"/>
      <c r="I183" s="102"/>
      <c r="J183" s="104"/>
      <c r="K183" s="105"/>
      <c r="L183" s="105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</row>
    <row r="184" spans="1:27" ht="14.25" customHeight="1">
      <c r="A184" s="102"/>
      <c r="B184" s="102"/>
      <c r="C184" s="102"/>
      <c r="D184" s="102"/>
      <c r="E184" s="102"/>
      <c r="F184" s="102"/>
      <c r="G184" s="103"/>
      <c r="H184" s="102"/>
      <c r="I184" s="102"/>
      <c r="J184" s="104"/>
      <c r="K184" s="105"/>
      <c r="L184" s="105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</row>
    <row r="185" spans="1:27" ht="14.25" customHeight="1">
      <c r="A185" s="102"/>
      <c r="B185" s="102"/>
      <c r="C185" s="102"/>
      <c r="D185" s="102"/>
      <c r="E185" s="102"/>
      <c r="F185" s="102"/>
      <c r="G185" s="103"/>
      <c r="H185" s="102"/>
      <c r="I185" s="102"/>
      <c r="J185" s="104"/>
      <c r="K185" s="105"/>
      <c r="L185" s="105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</row>
    <row r="186" spans="1:27" ht="14.25" customHeight="1">
      <c r="A186" s="102"/>
      <c r="B186" s="102"/>
      <c r="C186" s="102"/>
      <c r="D186" s="102"/>
      <c r="E186" s="102"/>
      <c r="F186" s="102"/>
      <c r="G186" s="103"/>
      <c r="H186" s="102"/>
      <c r="I186" s="102"/>
      <c r="J186" s="104"/>
      <c r="K186" s="105"/>
      <c r="L186" s="105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</row>
    <row r="187" spans="1:27" ht="14.25" customHeight="1">
      <c r="A187" s="102"/>
      <c r="B187" s="102"/>
      <c r="C187" s="102"/>
      <c r="D187" s="102"/>
      <c r="E187" s="102"/>
      <c r="F187" s="102"/>
      <c r="G187" s="103"/>
      <c r="H187" s="102"/>
      <c r="I187" s="102"/>
      <c r="J187" s="104"/>
      <c r="K187" s="105"/>
      <c r="L187" s="105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</row>
    <row r="188" spans="1:27" ht="14.25" customHeight="1">
      <c r="A188" s="102"/>
      <c r="B188" s="102"/>
      <c r="C188" s="102"/>
      <c r="D188" s="102"/>
      <c r="E188" s="102"/>
      <c r="F188" s="102"/>
      <c r="G188" s="103"/>
      <c r="H188" s="102"/>
      <c r="I188" s="102"/>
      <c r="J188" s="104"/>
      <c r="K188" s="105"/>
      <c r="L188" s="105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</row>
    <row r="189" spans="1:27" ht="14.25" customHeight="1">
      <c r="A189" s="102"/>
      <c r="B189" s="102"/>
      <c r="C189" s="102"/>
      <c r="D189" s="102"/>
      <c r="E189" s="102"/>
      <c r="F189" s="102"/>
      <c r="G189" s="103"/>
      <c r="H189" s="102"/>
      <c r="I189" s="102"/>
      <c r="J189" s="104"/>
      <c r="K189" s="105"/>
      <c r="L189" s="105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</row>
    <row r="190" spans="1:27" ht="14.25" customHeight="1">
      <c r="A190" s="102"/>
      <c r="B190" s="102"/>
      <c r="C190" s="102"/>
      <c r="D190" s="102"/>
      <c r="E190" s="102"/>
      <c r="F190" s="102"/>
      <c r="G190" s="103"/>
      <c r="H190" s="102"/>
      <c r="I190" s="102"/>
      <c r="J190" s="104"/>
      <c r="K190" s="105"/>
      <c r="L190" s="105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</row>
    <row r="191" spans="1:27" ht="14.25" customHeight="1">
      <c r="A191" s="102"/>
      <c r="B191" s="102"/>
      <c r="C191" s="102"/>
      <c r="D191" s="102"/>
      <c r="E191" s="102"/>
      <c r="F191" s="102"/>
      <c r="G191" s="103"/>
      <c r="H191" s="102"/>
      <c r="I191" s="102"/>
      <c r="J191" s="104"/>
      <c r="K191" s="105"/>
      <c r="L191" s="105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</row>
    <row r="192" spans="1:27" ht="14.25" customHeight="1">
      <c r="A192" s="102"/>
      <c r="B192" s="102"/>
      <c r="C192" s="102"/>
      <c r="D192" s="102"/>
      <c r="E192" s="102"/>
      <c r="F192" s="102"/>
      <c r="G192" s="103"/>
      <c r="H192" s="102"/>
      <c r="I192" s="102"/>
      <c r="J192" s="104"/>
      <c r="K192" s="105"/>
      <c r="L192" s="105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</row>
    <row r="193" spans="1:27" ht="14.25" customHeight="1">
      <c r="A193" s="102"/>
      <c r="B193" s="102"/>
      <c r="C193" s="102"/>
      <c r="D193" s="102"/>
      <c r="E193" s="102"/>
      <c r="F193" s="102"/>
      <c r="G193" s="103"/>
      <c r="H193" s="102"/>
      <c r="I193" s="102"/>
      <c r="J193" s="104"/>
      <c r="K193" s="105"/>
      <c r="L193" s="105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</row>
    <row r="194" spans="1:27" ht="14.25" customHeight="1">
      <c r="A194" s="102"/>
      <c r="B194" s="102"/>
      <c r="C194" s="102"/>
      <c r="D194" s="102"/>
      <c r="E194" s="102"/>
      <c r="F194" s="102"/>
      <c r="G194" s="103"/>
      <c r="H194" s="102"/>
      <c r="I194" s="102"/>
      <c r="J194" s="104"/>
      <c r="K194" s="105"/>
      <c r="L194" s="105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</row>
    <row r="195" spans="1:27" ht="14.25" customHeight="1">
      <c r="A195" s="102"/>
      <c r="B195" s="102"/>
      <c r="C195" s="102"/>
      <c r="D195" s="102"/>
      <c r="E195" s="102"/>
      <c r="F195" s="102"/>
      <c r="G195" s="103"/>
      <c r="H195" s="102"/>
      <c r="I195" s="102"/>
      <c r="J195" s="104"/>
      <c r="K195" s="105"/>
      <c r="L195" s="105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</row>
    <row r="196" spans="1:27" ht="14.25" customHeight="1">
      <c r="A196" s="102"/>
      <c r="B196" s="102"/>
      <c r="C196" s="102"/>
      <c r="D196" s="102"/>
      <c r="E196" s="102"/>
      <c r="F196" s="102"/>
      <c r="G196" s="103"/>
      <c r="H196" s="102"/>
      <c r="I196" s="102"/>
      <c r="J196" s="104"/>
      <c r="K196" s="105"/>
      <c r="L196" s="105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</row>
    <row r="197" spans="1:27" ht="14.25" customHeight="1">
      <c r="A197" s="102"/>
      <c r="B197" s="102"/>
      <c r="C197" s="102"/>
      <c r="D197" s="102"/>
      <c r="E197" s="102"/>
      <c r="F197" s="102"/>
      <c r="G197" s="103"/>
      <c r="H197" s="102"/>
      <c r="I197" s="102"/>
      <c r="J197" s="104"/>
      <c r="K197" s="105"/>
      <c r="L197" s="105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</row>
    <row r="198" spans="1:27" ht="14.25" customHeight="1">
      <c r="A198" s="102"/>
      <c r="B198" s="102"/>
      <c r="C198" s="102"/>
      <c r="D198" s="102"/>
      <c r="E198" s="102"/>
      <c r="F198" s="102"/>
      <c r="G198" s="103"/>
      <c r="H198" s="102"/>
      <c r="I198" s="102"/>
      <c r="J198" s="104"/>
      <c r="K198" s="105"/>
      <c r="L198" s="105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</row>
    <row r="199" spans="1:27" ht="14.25" customHeight="1">
      <c r="A199" s="102"/>
      <c r="B199" s="102"/>
      <c r="C199" s="102"/>
      <c r="D199" s="102"/>
      <c r="E199" s="102"/>
      <c r="F199" s="102"/>
      <c r="G199" s="103"/>
      <c r="H199" s="102"/>
      <c r="I199" s="102"/>
      <c r="J199" s="104"/>
      <c r="K199" s="105"/>
      <c r="L199" s="105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</row>
    <row r="200" spans="1:27" ht="14.25" customHeight="1">
      <c r="A200" s="102"/>
      <c r="B200" s="102"/>
      <c r="C200" s="102"/>
      <c r="D200" s="102"/>
      <c r="E200" s="102"/>
      <c r="F200" s="102"/>
      <c r="G200" s="103"/>
      <c r="H200" s="102"/>
      <c r="I200" s="102"/>
      <c r="J200" s="104"/>
      <c r="K200" s="105"/>
      <c r="L200" s="105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</row>
    <row r="201" spans="1:27" ht="14.25" customHeight="1">
      <c r="A201" s="102"/>
      <c r="B201" s="102"/>
      <c r="C201" s="102"/>
      <c r="D201" s="102"/>
      <c r="E201" s="102"/>
      <c r="F201" s="102"/>
      <c r="G201" s="103"/>
      <c r="H201" s="102"/>
      <c r="I201" s="102"/>
      <c r="J201" s="104"/>
      <c r="K201" s="105"/>
      <c r="L201" s="105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</row>
    <row r="202" spans="1:27" ht="14.25" customHeight="1">
      <c r="A202" s="102"/>
      <c r="B202" s="102"/>
      <c r="C202" s="102"/>
      <c r="D202" s="102"/>
      <c r="E202" s="102"/>
      <c r="F202" s="102"/>
      <c r="G202" s="103"/>
      <c r="H202" s="102"/>
      <c r="I202" s="102"/>
      <c r="J202" s="104"/>
      <c r="K202" s="105"/>
      <c r="L202" s="105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</row>
    <row r="203" spans="1:27" ht="14.25" customHeight="1">
      <c r="A203" s="102"/>
      <c r="B203" s="102"/>
      <c r="C203" s="102"/>
      <c r="D203" s="102"/>
      <c r="E203" s="102"/>
      <c r="F203" s="102"/>
      <c r="G203" s="103"/>
      <c r="H203" s="102"/>
      <c r="I203" s="102"/>
      <c r="J203" s="104"/>
      <c r="K203" s="105"/>
      <c r="L203" s="105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</row>
    <row r="204" spans="1:27" ht="14.25" customHeight="1">
      <c r="A204" s="102"/>
      <c r="B204" s="102"/>
      <c r="C204" s="102"/>
      <c r="D204" s="102"/>
      <c r="E204" s="102"/>
      <c r="F204" s="102"/>
      <c r="G204" s="103"/>
      <c r="H204" s="102"/>
      <c r="I204" s="102"/>
      <c r="J204" s="104"/>
      <c r="K204" s="105"/>
      <c r="L204" s="105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</row>
    <row r="205" spans="1:27" ht="14.25" customHeight="1">
      <c r="A205" s="102"/>
      <c r="B205" s="102"/>
      <c r="C205" s="102"/>
      <c r="D205" s="102"/>
      <c r="E205" s="102"/>
      <c r="F205" s="102"/>
      <c r="G205" s="103"/>
      <c r="H205" s="102"/>
      <c r="I205" s="102"/>
      <c r="J205" s="104"/>
      <c r="K205" s="105"/>
      <c r="L205" s="105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</row>
    <row r="206" spans="1:27" ht="14.25" customHeight="1">
      <c r="A206" s="102"/>
      <c r="B206" s="102"/>
      <c r="C206" s="102"/>
      <c r="D206" s="102"/>
      <c r="E206" s="102"/>
      <c r="F206" s="102"/>
      <c r="G206" s="103"/>
      <c r="H206" s="102"/>
      <c r="I206" s="102"/>
      <c r="J206" s="104"/>
      <c r="K206" s="105"/>
      <c r="L206" s="105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</row>
    <row r="207" spans="1:27" ht="14.25" customHeight="1">
      <c r="A207" s="102"/>
      <c r="B207" s="102"/>
      <c r="C207" s="102"/>
      <c r="D207" s="102"/>
      <c r="E207" s="102"/>
      <c r="F207" s="102"/>
      <c r="G207" s="103"/>
      <c r="H207" s="102"/>
      <c r="I207" s="102"/>
      <c r="J207" s="104"/>
      <c r="K207" s="105"/>
      <c r="L207" s="105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</row>
    <row r="208" spans="1:27" ht="14.25" customHeight="1">
      <c r="A208" s="102"/>
      <c r="B208" s="102"/>
      <c r="C208" s="102"/>
      <c r="D208" s="102"/>
      <c r="E208" s="102"/>
      <c r="F208" s="102"/>
      <c r="G208" s="103"/>
      <c r="H208" s="102"/>
      <c r="I208" s="102"/>
      <c r="J208" s="104"/>
      <c r="K208" s="105"/>
      <c r="L208" s="105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</row>
    <row r="209" spans="1:27" ht="14.25" customHeight="1">
      <c r="A209" s="102"/>
      <c r="B209" s="102"/>
      <c r="C209" s="102"/>
      <c r="D209" s="102"/>
      <c r="E209" s="102"/>
      <c r="F209" s="102"/>
      <c r="G209" s="103"/>
      <c r="H209" s="102"/>
      <c r="I209" s="102"/>
      <c r="J209" s="104"/>
      <c r="K209" s="105"/>
      <c r="L209" s="105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</row>
    <row r="210" spans="1:27" ht="14.25" customHeight="1">
      <c r="A210" s="102"/>
      <c r="B210" s="102"/>
      <c r="C210" s="102"/>
      <c r="D210" s="102"/>
      <c r="E210" s="102"/>
      <c r="F210" s="102"/>
      <c r="G210" s="103"/>
      <c r="H210" s="102"/>
      <c r="I210" s="102"/>
      <c r="J210" s="104"/>
      <c r="K210" s="105"/>
      <c r="L210" s="105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</row>
    <row r="211" spans="1:27" ht="14.25" customHeight="1">
      <c r="A211" s="102"/>
      <c r="B211" s="102"/>
      <c r="C211" s="102"/>
      <c r="D211" s="102"/>
      <c r="E211" s="102"/>
      <c r="F211" s="102"/>
      <c r="G211" s="103"/>
      <c r="H211" s="102"/>
      <c r="I211" s="102"/>
      <c r="J211" s="104"/>
      <c r="K211" s="105"/>
      <c r="L211" s="105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</row>
    <row r="212" spans="1:27" ht="14.25" customHeight="1">
      <c r="A212" s="102"/>
      <c r="B212" s="102"/>
      <c r="C212" s="102"/>
      <c r="D212" s="102"/>
      <c r="E212" s="102"/>
      <c r="F212" s="102"/>
      <c r="G212" s="103"/>
      <c r="H212" s="102"/>
      <c r="I212" s="102"/>
      <c r="J212" s="104"/>
      <c r="K212" s="105"/>
      <c r="L212" s="105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</row>
    <row r="213" spans="1:27" ht="14.25" customHeight="1">
      <c r="A213" s="102"/>
      <c r="B213" s="102"/>
      <c r="C213" s="102"/>
      <c r="D213" s="102"/>
      <c r="E213" s="102"/>
      <c r="F213" s="102"/>
      <c r="G213" s="103"/>
      <c r="H213" s="102"/>
      <c r="I213" s="102"/>
      <c r="J213" s="104"/>
      <c r="K213" s="105"/>
      <c r="L213" s="105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</row>
    <row r="214" spans="1:27" ht="14.25" customHeight="1">
      <c r="A214" s="102"/>
      <c r="B214" s="102"/>
      <c r="C214" s="102"/>
      <c r="D214" s="102"/>
      <c r="E214" s="102"/>
      <c r="F214" s="102"/>
      <c r="G214" s="103"/>
      <c r="H214" s="102"/>
      <c r="I214" s="102"/>
      <c r="J214" s="104"/>
      <c r="K214" s="105"/>
      <c r="L214" s="105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</row>
    <row r="215" spans="1:27" ht="14.25" customHeight="1">
      <c r="A215" s="102"/>
      <c r="B215" s="102"/>
      <c r="C215" s="102"/>
      <c r="D215" s="102"/>
      <c r="E215" s="102"/>
      <c r="F215" s="102"/>
      <c r="G215" s="103"/>
      <c r="H215" s="102"/>
      <c r="I215" s="102"/>
      <c r="J215" s="104"/>
      <c r="K215" s="105"/>
      <c r="L215" s="105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</row>
    <row r="216" spans="1:27" ht="14.25" customHeight="1">
      <c r="A216" s="102"/>
      <c r="B216" s="102"/>
      <c r="C216" s="102"/>
      <c r="D216" s="102"/>
      <c r="E216" s="102"/>
      <c r="F216" s="102"/>
      <c r="G216" s="103"/>
      <c r="H216" s="102"/>
      <c r="I216" s="102"/>
      <c r="J216" s="104"/>
      <c r="K216" s="105"/>
      <c r="L216" s="105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</row>
    <row r="217" spans="1:27" ht="14.25" customHeight="1">
      <c r="A217" s="102"/>
      <c r="B217" s="102"/>
      <c r="C217" s="102"/>
      <c r="D217" s="102"/>
      <c r="E217" s="102"/>
      <c r="F217" s="102"/>
      <c r="G217" s="103"/>
      <c r="H217" s="102"/>
      <c r="I217" s="102"/>
      <c r="J217" s="104"/>
      <c r="K217" s="105"/>
      <c r="L217" s="105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</row>
    <row r="218" spans="1:27" ht="14.25" customHeight="1">
      <c r="A218" s="102"/>
      <c r="B218" s="102"/>
      <c r="C218" s="102"/>
      <c r="D218" s="102"/>
      <c r="E218" s="102"/>
      <c r="F218" s="102"/>
      <c r="G218" s="103"/>
      <c r="H218" s="102"/>
      <c r="I218" s="102"/>
      <c r="J218" s="104"/>
      <c r="K218" s="105"/>
      <c r="L218" s="105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</row>
    <row r="219" spans="1:27" ht="14.25" customHeight="1">
      <c r="A219" s="102"/>
      <c r="B219" s="102"/>
      <c r="C219" s="102"/>
      <c r="D219" s="102"/>
      <c r="E219" s="102"/>
      <c r="F219" s="102"/>
      <c r="G219" s="103"/>
      <c r="H219" s="102"/>
      <c r="I219" s="102"/>
      <c r="J219" s="104"/>
      <c r="K219" s="105"/>
      <c r="L219" s="105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</row>
    <row r="220" spans="1:27" ht="14.25" customHeight="1">
      <c r="A220" s="102"/>
      <c r="B220" s="102"/>
      <c r="C220" s="102"/>
      <c r="D220" s="102"/>
      <c r="E220" s="102"/>
      <c r="F220" s="102"/>
      <c r="G220" s="103"/>
      <c r="H220" s="102"/>
      <c r="I220" s="102"/>
      <c r="J220" s="104"/>
      <c r="K220" s="105"/>
      <c r="L220" s="105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</row>
    <row r="221" spans="1:27" ht="14.25" customHeight="1">
      <c r="A221" s="102"/>
      <c r="B221" s="102"/>
      <c r="C221" s="102"/>
      <c r="D221" s="102"/>
      <c r="E221" s="102"/>
      <c r="F221" s="102"/>
      <c r="G221" s="103"/>
      <c r="H221" s="102"/>
      <c r="I221" s="102"/>
      <c r="J221" s="104"/>
      <c r="K221" s="105"/>
      <c r="L221" s="105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</row>
    <row r="222" spans="1:27" ht="14.25" customHeight="1">
      <c r="A222" s="102"/>
      <c r="B222" s="102"/>
      <c r="C222" s="102"/>
      <c r="D222" s="102"/>
      <c r="E222" s="102"/>
      <c r="F222" s="102"/>
      <c r="G222" s="103"/>
      <c r="H222" s="102"/>
      <c r="I222" s="102"/>
      <c r="J222" s="104"/>
      <c r="K222" s="105"/>
      <c r="L222" s="105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</row>
    <row r="223" spans="1:27" ht="14.25" customHeight="1">
      <c r="A223" s="102"/>
      <c r="B223" s="102"/>
      <c r="C223" s="102"/>
      <c r="D223" s="102"/>
      <c r="E223" s="102"/>
      <c r="F223" s="102"/>
      <c r="G223" s="103"/>
      <c r="H223" s="102"/>
      <c r="I223" s="102"/>
      <c r="J223" s="104"/>
      <c r="K223" s="105"/>
      <c r="L223" s="105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</row>
    <row r="224" spans="1:27" ht="14.25" customHeight="1">
      <c r="A224" s="102"/>
      <c r="B224" s="102"/>
      <c r="C224" s="102"/>
      <c r="D224" s="102"/>
      <c r="E224" s="102"/>
      <c r="F224" s="102"/>
      <c r="G224" s="103"/>
      <c r="H224" s="102"/>
      <c r="I224" s="102"/>
      <c r="J224" s="104"/>
      <c r="K224" s="105"/>
      <c r="L224" s="105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</row>
    <row r="225" spans="1:27" ht="14.25" customHeight="1">
      <c r="A225" s="102"/>
      <c r="B225" s="102"/>
      <c r="C225" s="102"/>
      <c r="D225" s="102"/>
      <c r="E225" s="102"/>
      <c r="F225" s="102"/>
      <c r="G225" s="103"/>
      <c r="H225" s="102"/>
      <c r="I225" s="102"/>
      <c r="J225" s="104"/>
      <c r="K225" s="105"/>
      <c r="L225" s="105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</row>
    <row r="226" spans="1:27" ht="14.25" customHeight="1">
      <c r="A226" s="102"/>
      <c r="B226" s="102"/>
      <c r="C226" s="102"/>
      <c r="D226" s="102"/>
      <c r="E226" s="102"/>
      <c r="F226" s="102"/>
      <c r="G226" s="103"/>
      <c r="H226" s="102"/>
      <c r="I226" s="102"/>
      <c r="J226" s="104"/>
      <c r="K226" s="105"/>
      <c r="L226" s="105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</row>
    <row r="227" spans="1:27" ht="14.25" customHeight="1">
      <c r="A227" s="102"/>
      <c r="B227" s="102"/>
      <c r="C227" s="102"/>
      <c r="D227" s="102"/>
      <c r="E227" s="102"/>
      <c r="F227" s="102"/>
      <c r="G227" s="103"/>
      <c r="H227" s="102"/>
      <c r="I227" s="102"/>
      <c r="J227" s="104"/>
      <c r="K227" s="105"/>
      <c r="L227" s="105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</row>
    <row r="228" spans="1:27" ht="14.25" customHeight="1">
      <c r="A228" s="102"/>
      <c r="B228" s="102"/>
      <c r="C228" s="102"/>
      <c r="D228" s="102"/>
      <c r="E228" s="102"/>
      <c r="F228" s="102"/>
      <c r="G228" s="103"/>
      <c r="H228" s="102"/>
      <c r="I228" s="102"/>
      <c r="J228" s="104"/>
      <c r="K228" s="105"/>
      <c r="L228" s="105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</row>
    <row r="229" spans="1:27" ht="14.25" customHeight="1">
      <c r="A229" s="102"/>
      <c r="B229" s="102"/>
      <c r="C229" s="102"/>
      <c r="D229" s="102"/>
      <c r="E229" s="102"/>
      <c r="F229" s="102"/>
      <c r="G229" s="103"/>
      <c r="H229" s="102"/>
      <c r="I229" s="102"/>
      <c r="J229" s="104"/>
      <c r="K229" s="105"/>
      <c r="L229" s="105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</row>
    <row r="230" spans="1:27" ht="14.25" customHeight="1">
      <c r="A230" s="102"/>
      <c r="B230" s="102"/>
      <c r="C230" s="102"/>
      <c r="D230" s="102"/>
      <c r="E230" s="102"/>
      <c r="F230" s="102"/>
      <c r="G230" s="103"/>
      <c r="H230" s="102"/>
      <c r="I230" s="102"/>
      <c r="J230" s="104"/>
      <c r="K230" s="105"/>
      <c r="L230" s="105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</row>
    <row r="231" spans="1:27" ht="14.25" customHeight="1">
      <c r="A231" s="102"/>
      <c r="B231" s="102"/>
      <c r="C231" s="102"/>
      <c r="D231" s="102"/>
      <c r="E231" s="102"/>
      <c r="F231" s="102"/>
      <c r="G231" s="103"/>
      <c r="H231" s="102"/>
      <c r="I231" s="102"/>
      <c r="J231" s="104"/>
      <c r="K231" s="105"/>
      <c r="L231" s="105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</row>
    <row r="232" spans="1:27" ht="14.25" customHeight="1">
      <c r="A232" s="102"/>
      <c r="B232" s="102"/>
      <c r="C232" s="102"/>
      <c r="D232" s="102"/>
      <c r="E232" s="102"/>
      <c r="F232" s="102"/>
      <c r="G232" s="103"/>
      <c r="H232" s="102"/>
      <c r="I232" s="102"/>
      <c r="J232" s="104"/>
      <c r="K232" s="105"/>
      <c r="L232" s="105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</row>
    <row r="233" spans="1:27" ht="14.25" customHeight="1">
      <c r="A233" s="102"/>
      <c r="B233" s="102"/>
      <c r="C233" s="102"/>
      <c r="D233" s="102"/>
      <c r="E233" s="102"/>
      <c r="F233" s="102"/>
      <c r="G233" s="103"/>
      <c r="H233" s="102"/>
      <c r="I233" s="102"/>
      <c r="J233" s="104"/>
      <c r="K233" s="105"/>
      <c r="L233" s="105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</row>
    <row r="234" spans="1:27" ht="14.25" customHeight="1">
      <c r="A234" s="102"/>
      <c r="B234" s="102"/>
      <c r="C234" s="102"/>
      <c r="D234" s="102"/>
      <c r="E234" s="102"/>
      <c r="F234" s="102"/>
      <c r="G234" s="103"/>
      <c r="H234" s="102"/>
      <c r="I234" s="102"/>
      <c r="J234" s="104"/>
      <c r="K234" s="105"/>
      <c r="L234" s="105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</row>
    <row r="235" spans="1:27" ht="14.25" customHeight="1">
      <c r="A235" s="102"/>
      <c r="B235" s="102"/>
      <c r="C235" s="102"/>
      <c r="D235" s="102"/>
      <c r="E235" s="102"/>
      <c r="F235" s="102"/>
      <c r="G235" s="103"/>
      <c r="H235" s="102"/>
      <c r="I235" s="102"/>
      <c r="J235" s="104"/>
      <c r="K235" s="105"/>
      <c r="L235" s="105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</row>
    <row r="236" spans="1:27" ht="14.25" customHeight="1">
      <c r="A236" s="102"/>
      <c r="B236" s="102"/>
      <c r="C236" s="102"/>
      <c r="D236" s="102"/>
      <c r="E236" s="102"/>
      <c r="F236" s="102"/>
      <c r="G236" s="103"/>
      <c r="H236" s="102"/>
      <c r="I236" s="102"/>
      <c r="J236" s="104"/>
      <c r="K236" s="105"/>
      <c r="L236" s="105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</row>
    <row r="237" spans="1:27" ht="14.25" customHeight="1">
      <c r="A237" s="102"/>
      <c r="B237" s="102"/>
      <c r="C237" s="102"/>
      <c r="D237" s="102"/>
      <c r="E237" s="102"/>
      <c r="F237" s="102"/>
      <c r="G237" s="103"/>
      <c r="H237" s="102"/>
      <c r="I237" s="102"/>
      <c r="J237" s="104"/>
      <c r="K237" s="105"/>
      <c r="L237" s="105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</row>
    <row r="238" spans="1:27" ht="14.25" customHeight="1">
      <c r="A238" s="102"/>
      <c r="B238" s="102"/>
      <c r="C238" s="102"/>
      <c r="D238" s="102"/>
      <c r="E238" s="102"/>
      <c r="F238" s="102"/>
      <c r="G238" s="103"/>
      <c r="H238" s="102"/>
      <c r="I238" s="102"/>
      <c r="J238" s="104"/>
      <c r="K238" s="105"/>
      <c r="L238" s="105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</row>
    <row r="239" spans="1:27" ht="14.25" customHeight="1">
      <c r="A239" s="102"/>
      <c r="B239" s="102"/>
      <c r="C239" s="102"/>
      <c r="D239" s="102"/>
      <c r="E239" s="102"/>
      <c r="F239" s="102"/>
      <c r="G239" s="103"/>
      <c r="H239" s="102"/>
      <c r="I239" s="102"/>
      <c r="J239" s="104"/>
      <c r="K239" s="105"/>
      <c r="L239" s="105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</row>
    <row r="240" spans="1:27" ht="14.25" customHeight="1">
      <c r="A240" s="102"/>
      <c r="B240" s="102"/>
      <c r="C240" s="102"/>
      <c r="D240" s="102"/>
      <c r="E240" s="102"/>
      <c r="F240" s="102"/>
      <c r="G240" s="103"/>
      <c r="H240" s="102"/>
      <c r="I240" s="102"/>
      <c r="J240" s="104"/>
      <c r="K240" s="105"/>
      <c r="L240" s="105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</row>
    <row r="241" spans="1:27" ht="14.25" customHeight="1">
      <c r="A241" s="102"/>
      <c r="B241" s="102"/>
      <c r="C241" s="102"/>
      <c r="D241" s="102"/>
      <c r="E241" s="102"/>
      <c r="F241" s="102"/>
      <c r="G241" s="103"/>
      <c r="H241" s="102"/>
      <c r="I241" s="102"/>
      <c r="J241" s="104"/>
      <c r="K241" s="105"/>
      <c r="L241" s="105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</row>
    <row r="242" spans="1:27" ht="14.25" customHeight="1">
      <c r="A242" s="102"/>
      <c r="B242" s="102"/>
      <c r="C242" s="102"/>
      <c r="D242" s="102"/>
      <c r="E242" s="102"/>
      <c r="F242" s="102"/>
      <c r="G242" s="103"/>
      <c r="H242" s="102"/>
      <c r="I242" s="102"/>
      <c r="J242" s="104"/>
      <c r="K242" s="105"/>
      <c r="L242" s="105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</row>
    <row r="243" spans="1:27" ht="14.25" customHeight="1">
      <c r="A243" s="102"/>
      <c r="B243" s="102"/>
      <c r="C243" s="102"/>
      <c r="D243" s="102"/>
      <c r="E243" s="102"/>
      <c r="F243" s="102"/>
      <c r="G243" s="103"/>
      <c r="H243" s="102"/>
      <c r="I243" s="102"/>
      <c r="J243" s="104"/>
      <c r="K243" s="105"/>
      <c r="L243" s="105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</row>
    <row r="244" spans="1:27" ht="14.25" customHeight="1">
      <c r="A244" s="102"/>
      <c r="B244" s="102"/>
      <c r="C244" s="102"/>
      <c r="D244" s="102"/>
      <c r="E244" s="102"/>
      <c r="F244" s="102"/>
      <c r="G244" s="103"/>
      <c r="H244" s="102"/>
      <c r="I244" s="102"/>
      <c r="J244" s="104"/>
      <c r="K244" s="105"/>
      <c r="L244" s="105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</row>
    <row r="245" spans="1:27" ht="14.25" customHeight="1">
      <c r="A245" s="102"/>
      <c r="B245" s="102"/>
      <c r="C245" s="102"/>
      <c r="D245" s="102"/>
      <c r="E245" s="102"/>
      <c r="F245" s="102"/>
      <c r="G245" s="103"/>
      <c r="H245" s="102"/>
      <c r="I245" s="102"/>
      <c r="J245" s="104"/>
      <c r="K245" s="105"/>
      <c r="L245" s="105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</row>
    <row r="246" spans="1:27" ht="14.25" customHeight="1">
      <c r="A246" s="102"/>
      <c r="B246" s="102"/>
      <c r="C246" s="102"/>
      <c r="D246" s="102"/>
      <c r="E246" s="102"/>
      <c r="F246" s="102"/>
      <c r="G246" s="103"/>
      <c r="H246" s="102"/>
      <c r="I246" s="102"/>
      <c r="J246" s="104"/>
      <c r="K246" s="105"/>
      <c r="L246" s="105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</row>
    <row r="247" spans="1:27" ht="14.25" customHeight="1">
      <c r="A247" s="102"/>
      <c r="B247" s="102"/>
      <c r="C247" s="102"/>
      <c r="D247" s="102"/>
      <c r="E247" s="102"/>
      <c r="F247" s="102"/>
      <c r="G247" s="103"/>
      <c r="H247" s="102"/>
      <c r="I247" s="102"/>
      <c r="J247" s="104"/>
      <c r="K247" s="105"/>
      <c r="L247" s="105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</row>
    <row r="248" spans="1:27" ht="14.25" customHeight="1">
      <c r="A248" s="102"/>
      <c r="B248" s="102"/>
      <c r="C248" s="102"/>
      <c r="D248" s="102"/>
      <c r="E248" s="102"/>
      <c r="F248" s="102"/>
      <c r="G248" s="103"/>
      <c r="H248" s="102"/>
      <c r="I248" s="102"/>
      <c r="J248" s="104"/>
      <c r="K248" s="105"/>
      <c r="L248" s="105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</row>
    <row r="249" spans="1:27" ht="14.25" customHeight="1">
      <c r="A249" s="102"/>
      <c r="B249" s="102"/>
      <c r="C249" s="102"/>
      <c r="D249" s="102"/>
      <c r="E249" s="102"/>
      <c r="F249" s="102"/>
      <c r="G249" s="103"/>
      <c r="H249" s="102"/>
      <c r="I249" s="102"/>
      <c r="J249" s="104"/>
      <c r="K249" s="105"/>
      <c r="L249" s="105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</row>
    <row r="250" spans="1:27" ht="14.25" customHeight="1">
      <c r="A250" s="102"/>
      <c r="B250" s="102"/>
      <c r="C250" s="102"/>
      <c r="D250" s="102"/>
      <c r="E250" s="102"/>
      <c r="F250" s="102"/>
      <c r="G250" s="103"/>
      <c r="H250" s="102"/>
      <c r="I250" s="102"/>
      <c r="J250" s="104"/>
      <c r="K250" s="105"/>
      <c r="L250" s="105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</row>
    <row r="251" spans="1:27" ht="14.25" customHeight="1">
      <c r="A251" s="102"/>
      <c r="B251" s="102"/>
      <c r="C251" s="102"/>
      <c r="D251" s="102"/>
      <c r="E251" s="102"/>
      <c r="F251" s="102"/>
      <c r="G251" s="103"/>
      <c r="H251" s="102"/>
      <c r="I251" s="102"/>
      <c r="J251" s="104"/>
      <c r="K251" s="105"/>
      <c r="L251" s="105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</row>
    <row r="252" spans="1:27" ht="14.25" customHeight="1">
      <c r="A252" s="102"/>
      <c r="B252" s="102"/>
      <c r="C252" s="102"/>
      <c r="D252" s="102"/>
      <c r="E252" s="102"/>
      <c r="F252" s="102"/>
      <c r="G252" s="103"/>
      <c r="H252" s="102"/>
      <c r="I252" s="102"/>
      <c r="J252" s="104"/>
      <c r="K252" s="105"/>
      <c r="L252" s="105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</row>
    <row r="253" spans="1:27" ht="14.25" customHeight="1">
      <c r="A253" s="102"/>
      <c r="B253" s="102"/>
      <c r="C253" s="102"/>
      <c r="D253" s="102"/>
      <c r="E253" s="102"/>
      <c r="F253" s="102"/>
      <c r="G253" s="103"/>
      <c r="H253" s="102"/>
      <c r="I253" s="102"/>
      <c r="J253" s="104"/>
      <c r="K253" s="105"/>
      <c r="L253" s="105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</row>
    <row r="254" spans="1:27" ht="14.25" customHeight="1">
      <c r="A254" s="102"/>
      <c r="B254" s="102"/>
      <c r="C254" s="102"/>
      <c r="D254" s="102"/>
      <c r="E254" s="102"/>
      <c r="F254" s="102"/>
      <c r="G254" s="103"/>
      <c r="H254" s="102"/>
      <c r="I254" s="102"/>
      <c r="J254" s="104"/>
      <c r="K254" s="105"/>
      <c r="L254" s="105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</row>
    <row r="255" spans="1:27" ht="14.25" customHeight="1">
      <c r="A255" s="102"/>
      <c r="B255" s="102"/>
      <c r="C255" s="102"/>
      <c r="D255" s="102"/>
      <c r="E255" s="102"/>
      <c r="F255" s="102"/>
      <c r="G255" s="103"/>
      <c r="H255" s="102"/>
      <c r="I255" s="102"/>
      <c r="J255" s="104"/>
      <c r="K255" s="105"/>
      <c r="L255" s="105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</row>
    <row r="256" spans="1:27" ht="14.25" customHeight="1">
      <c r="A256" s="102"/>
      <c r="B256" s="102"/>
      <c r="C256" s="102"/>
      <c r="D256" s="102"/>
      <c r="E256" s="102"/>
      <c r="F256" s="102"/>
      <c r="G256" s="103"/>
      <c r="H256" s="102"/>
      <c r="I256" s="102"/>
      <c r="J256" s="104"/>
      <c r="K256" s="105"/>
      <c r="L256" s="105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</row>
    <row r="257" spans="1:27" ht="14.25" customHeight="1">
      <c r="A257" s="102"/>
      <c r="B257" s="102"/>
      <c r="C257" s="102"/>
      <c r="D257" s="102"/>
      <c r="E257" s="102"/>
      <c r="F257" s="102"/>
      <c r="G257" s="103"/>
      <c r="H257" s="102"/>
      <c r="I257" s="102"/>
      <c r="J257" s="104"/>
      <c r="K257" s="105"/>
      <c r="L257" s="105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</row>
    <row r="258" spans="1:27" ht="14.25" customHeight="1">
      <c r="A258" s="102"/>
      <c r="B258" s="102"/>
      <c r="C258" s="102"/>
      <c r="D258" s="102"/>
      <c r="E258" s="102"/>
      <c r="F258" s="102"/>
      <c r="G258" s="103"/>
      <c r="H258" s="102"/>
      <c r="I258" s="102"/>
      <c r="J258" s="104"/>
      <c r="K258" s="105"/>
      <c r="L258" s="105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</row>
    <row r="259" spans="1:27" ht="14.25" customHeight="1">
      <c r="A259" s="102"/>
      <c r="B259" s="102"/>
      <c r="C259" s="102"/>
      <c r="D259" s="102"/>
      <c r="E259" s="102"/>
      <c r="F259" s="102"/>
      <c r="G259" s="103"/>
      <c r="H259" s="102"/>
      <c r="I259" s="102"/>
      <c r="J259" s="104"/>
      <c r="K259" s="105"/>
      <c r="L259" s="105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</row>
    <row r="260" spans="1:27" ht="14.25" customHeight="1">
      <c r="A260" s="102"/>
      <c r="B260" s="102"/>
      <c r="C260" s="102"/>
      <c r="D260" s="102"/>
      <c r="E260" s="102"/>
      <c r="F260" s="102"/>
      <c r="G260" s="103"/>
      <c r="H260" s="102"/>
      <c r="I260" s="102"/>
      <c r="J260" s="104"/>
      <c r="K260" s="105"/>
      <c r="L260" s="105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</row>
    <row r="261" spans="1:27" ht="14.25" customHeight="1">
      <c r="A261" s="102"/>
      <c r="B261" s="102"/>
      <c r="C261" s="102"/>
      <c r="D261" s="102"/>
      <c r="E261" s="102"/>
      <c r="F261" s="102"/>
      <c r="G261" s="103"/>
      <c r="H261" s="102"/>
      <c r="I261" s="102"/>
      <c r="J261" s="104"/>
      <c r="K261" s="105"/>
      <c r="L261" s="105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</row>
    <row r="262" spans="1:27" ht="14.25" customHeight="1">
      <c r="A262" s="102"/>
      <c r="B262" s="102"/>
      <c r="C262" s="102"/>
      <c r="D262" s="102"/>
      <c r="E262" s="102"/>
      <c r="F262" s="102"/>
      <c r="G262" s="103"/>
      <c r="H262" s="102"/>
      <c r="I262" s="102"/>
      <c r="J262" s="104"/>
      <c r="K262" s="105"/>
      <c r="L262" s="105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</row>
    <row r="263" spans="1:27" ht="14.25" customHeight="1">
      <c r="A263" s="102"/>
      <c r="B263" s="102"/>
      <c r="C263" s="102"/>
      <c r="D263" s="102"/>
      <c r="E263" s="102"/>
      <c r="F263" s="102"/>
      <c r="G263" s="103"/>
      <c r="H263" s="102"/>
      <c r="I263" s="102"/>
      <c r="J263" s="104"/>
      <c r="K263" s="105"/>
      <c r="L263" s="105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</row>
    <row r="264" spans="1:27" ht="14.25" customHeight="1">
      <c r="A264" s="102"/>
      <c r="B264" s="102"/>
      <c r="C264" s="102"/>
      <c r="D264" s="102"/>
      <c r="E264" s="102"/>
      <c r="F264" s="102"/>
      <c r="G264" s="103"/>
      <c r="H264" s="102"/>
      <c r="I264" s="102"/>
      <c r="J264" s="104"/>
      <c r="K264" s="105"/>
      <c r="L264" s="105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</row>
    <row r="265" spans="1:27" ht="14.25" customHeight="1">
      <c r="A265" s="102"/>
      <c r="B265" s="102"/>
      <c r="C265" s="102"/>
      <c r="D265" s="102"/>
      <c r="E265" s="102"/>
      <c r="F265" s="102"/>
      <c r="G265" s="103"/>
      <c r="H265" s="102"/>
      <c r="I265" s="102"/>
      <c r="J265" s="104"/>
      <c r="K265" s="105"/>
      <c r="L265" s="105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</row>
    <row r="266" spans="1:27" ht="14.25" customHeight="1">
      <c r="A266" s="102"/>
      <c r="B266" s="102"/>
      <c r="C266" s="102"/>
      <c r="D266" s="102"/>
      <c r="E266" s="102"/>
      <c r="F266" s="102"/>
      <c r="G266" s="103"/>
      <c r="H266" s="102"/>
      <c r="I266" s="102"/>
      <c r="J266" s="104"/>
      <c r="K266" s="105"/>
      <c r="L266" s="105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</row>
    <row r="267" spans="1:27" ht="14.25" customHeight="1">
      <c r="A267" s="102"/>
      <c r="B267" s="102"/>
      <c r="C267" s="102"/>
      <c r="D267" s="102"/>
      <c r="E267" s="102"/>
      <c r="F267" s="102"/>
      <c r="G267" s="103"/>
      <c r="H267" s="102"/>
      <c r="I267" s="102"/>
      <c r="J267" s="104"/>
      <c r="K267" s="105"/>
      <c r="L267" s="105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</row>
    <row r="268" spans="1:27" ht="14.25" customHeight="1">
      <c r="A268" s="102"/>
      <c r="B268" s="102"/>
      <c r="C268" s="102"/>
      <c r="D268" s="102"/>
      <c r="E268" s="102"/>
      <c r="F268" s="102"/>
      <c r="G268" s="103"/>
      <c r="H268" s="102"/>
      <c r="I268" s="102"/>
      <c r="J268" s="104"/>
      <c r="K268" s="105"/>
      <c r="L268" s="105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</row>
    <row r="269" spans="1:27" ht="14.25" customHeight="1">
      <c r="A269" s="102"/>
      <c r="B269" s="102"/>
      <c r="C269" s="102"/>
      <c r="D269" s="102"/>
      <c r="E269" s="102"/>
      <c r="F269" s="102"/>
      <c r="G269" s="103"/>
      <c r="H269" s="102"/>
      <c r="I269" s="102"/>
      <c r="J269" s="104"/>
      <c r="K269" s="105"/>
      <c r="L269" s="105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</row>
    <row r="270" spans="1:27" ht="14.25" customHeight="1">
      <c r="A270" s="102"/>
      <c r="B270" s="102"/>
      <c r="C270" s="102"/>
      <c r="D270" s="102"/>
      <c r="E270" s="102"/>
      <c r="F270" s="102"/>
      <c r="G270" s="103"/>
      <c r="H270" s="102"/>
      <c r="I270" s="102"/>
      <c r="J270" s="104"/>
      <c r="K270" s="105"/>
      <c r="L270" s="105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</row>
    <row r="271" spans="1:27" ht="14.25" customHeight="1">
      <c r="A271" s="102"/>
      <c r="B271" s="102"/>
      <c r="C271" s="102"/>
      <c r="D271" s="102"/>
      <c r="E271" s="102"/>
      <c r="F271" s="102"/>
      <c r="G271" s="103"/>
      <c r="H271" s="102"/>
      <c r="I271" s="102"/>
      <c r="J271" s="104"/>
      <c r="K271" s="105"/>
      <c r="L271" s="105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</row>
    <row r="272" spans="1:27" ht="14.25" customHeight="1">
      <c r="A272" s="102"/>
      <c r="B272" s="102"/>
      <c r="C272" s="102"/>
      <c r="D272" s="102"/>
      <c r="E272" s="102"/>
      <c r="F272" s="102"/>
      <c r="G272" s="103"/>
      <c r="H272" s="102"/>
      <c r="I272" s="102"/>
      <c r="J272" s="104"/>
      <c r="K272" s="105"/>
      <c r="L272" s="105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</row>
    <row r="273" spans="1:27" ht="14.25" customHeight="1">
      <c r="A273" s="102"/>
      <c r="B273" s="102"/>
      <c r="C273" s="102"/>
      <c r="D273" s="102"/>
      <c r="E273" s="102"/>
      <c r="F273" s="102"/>
      <c r="G273" s="103"/>
      <c r="H273" s="102"/>
      <c r="I273" s="102"/>
      <c r="J273" s="104"/>
      <c r="K273" s="105"/>
      <c r="L273" s="105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</row>
    <row r="274" spans="1:27" ht="14.25" customHeight="1">
      <c r="A274" s="102"/>
      <c r="B274" s="102"/>
      <c r="C274" s="102"/>
      <c r="D274" s="102"/>
      <c r="E274" s="102"/>
      <c r="F274" s="102"/>
      <c r="G274" s="103"/>
      <c r="H274" s="102"/>
      <c r="I274" s="102"/>
      <c r="J274" s="104"/>
      <c r="K274" s="105"/>
      <c r="L274" s="105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</row>
    <row r="275" spans="1:27" ht="14.25" customHeight="1">
      <c r="A275" s="102"/>
      <c r="B275" s="102"/>
      <c r="C275" s="102"/>
      <c r="D275" s="102"/>
      <c r="E275" s="102"/>
      <c r="F275" s="102"/>
      <c r="G275" s="103"/>
      <c r="H275" s="102"/>
      <c r="I275" s="102"/>
      <c r="J275" s="104"/>
      <c r="K275" s="105"/>
      <c r="L275" s="105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</row>
    <row r="276" spans="1:27" ht="14.25" customHeight="1">
      <c r="A276" s="102"/>
      <c r="B276" s="102"/>
      <c r="C276" s="102"/>
      <c r="D276" s="102"/>
      <c r="E276" s="102"/>
      <c r="F276" s="102"/>
      <c r="G276" s="103"/>
      <c r="H276" s="102"/>
      <c r="I276" s="102"/>
      <c r="J276" s="104"/>
      <c r="K276" s="105"/>
      <c r="L276" s="105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</row>
    <row r="277" spans="1:27" ht="15.75" customHeight="1"/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O10:P60" xr:uid="{00000000-0009-0000-0000-00001E000000}">
    <sortState xmlns:xlrd2="http://schemas.microsoft.com/office/spreadsheetml/2017/richdata2" ref="O11:P60">
      <sortCondition descending="1" ref="P10:P60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M8:N9"/>
    <mergeCell ref="O8:P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G60" r:id="rId1" xr:uid="{6910B7E9-E5BD-442E-A59E-5BAAE5900006}"/>
    <hyperlink ref="O60" r:id="rId2" xr:uid="{EF8EDAD4-3410-4D6F-8D9C-F69F5F108DBE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Cengkeh</vt:lpstr>
      <vt:lpstr>Cengkeh!Z_3F279D1F_CFB3_4226_902F_136088D6AABE_.wvu.Cols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2025-09-01T04:23:46Z</dcterms:created>
  <dcterms:modified xsi:type="dcterms:W3CDTF">2025-09-01T04:23:55Z</dcterms:modified>
</cp:coreProperties>
</file>