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TAHUNAN\"/>
    </mc:Choice>
  </mc:AlternateContent>
  <xr:revisionPtr revIDLastSave="0" documentId="8_{35FF6E47-747C-4EEF-92F6-09B3220F50DF}" xr6:coauthVersionLast="45" xr6:coauthVersionMax="45" xr10:uidLastSave="{00000000-0000-0000-0000-000000000000}"/>
  <bookViews>
    <workbookView xWindow="-120" yWindow="-120" windowWidth="20730" windowHeight="11310" xr2:uid="{00525517-BBB6-4EB3-97D4-51BCC2C7B35B}"/>
  </bookViews>
  <sheets>
    <sheet name="Kapok" sheetId="1" r:id="rId1"/>
  </sheets>
  <externalReferences>
    <externalReference r:id="rId2"/>
  </externalReferences>
  <definedNames>
    <definedName name="_xlnm._FilterDatabase" localSheetId="0" hidden="1">Kapok!$L$10:$M$59</definedName>
    <definedName name="komoditi">#REF!</definedName>
    <definedName name="Z_3F279D1F_CFB3_4226_902F_136088D6AABE_.wvu.Cols" localSheetId="0">Kapok!$X:$X</definedName>
    <definedName name="Z_BB0C7139_A5D5_4A54_9E2C_18390F57221E_.wvu.FilterData" localSheetId="0" hidden="1">Kapok!$L$10:$M$42</definedName>
    <definedName name="Z_C549CA57_D6A8_473A_95EE_534EA55B482B_.wvu.FilterData" localSheetId="0" hidden="1">Kapok!$L$10:$M$58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8" i="1" l="1"/>
  <c r="F57" i="1"/>
  <c r="F56" i="1"/>
  <c r="F55" i="1"/>
  <c r="F54" i="1"/>
  <c r="F53" i="1"/>
  <c r="F52" i="1"/>
  <c r="F51" i="1"/>
  <c r="F50" i="1"/>
  <c r="I43" i="1"/>
  <c r="G43" i="1"/>
  <c r="H43" i="1" s="1"/>
  <c r="E43" i="1"/>
  <c r="D43" i="1"/>
  <c r="C43" i="1"/>
  <c r="F43" i="1" s="1"/>
  <c r="X42" i="1"/>
  <c r="J42" i="1"/>
  <c r="H42" i="1"/>
  <c r="F42" i="1"/>
  <c r="X41" i="1"/>
  <c r="J41" i="1"/>
  <c r="H41" i="1"/>
  <c r="F41" i="1"/>
  <c r="X40" i="1"/>
  <c r="J40" i="1"/>
  <c r="H40" i="1"/>
  <c r="F40" i="1"/>
  <c r="X39" i="1"/>
  <c r="J39" i="1"/>
  <c r="H39" i="1"/>
  <c r="F39" i="1"/>
  <c r="X38" i="1"/>
  <c r="H38" i="1"/>
  <c r="F38" i="1"/>
  <c r="J38" i="1" s="1"/>
  <c r="X37" i="1"/>
  <c r="J37" i="1"/>
  <c r="H37" i="1"/>
  <c r="F37" i="1"/>
  <c r="X36" i="1"/>
  <c r="H36" i="1"/>
  <c r="F36" i="1"/>
  <c r="J36" i="1" s="1"/>
  <c r="X35" i="1"/>
  <c r="H35" i="1"/>
  <c r="F35" i="1"/>
  <c r="J35" i="1" s="1"/>
  <c r="X34" i="1"/>
  <c r="H34" i="1"/>
  <c r="F34" i="1"/>
  <c r="J34" i="1" s="1"/>
  <c r="X33" i="1"/>
  <c r="H33" i="1"/>
  <c r="F33" i="1"/>
  <c r="J33" i="1" s="1"/>
  <c r="X32" i="1"/>
  <c r="M32" i="1"/>
  <c r="L32" i="1"/>
  <c r="H32" i="1"/>
  <c r="F32" i="1"/>
  <c r="J32" i="1" s="1"/>
  <c r="X31" i="1"/>
  <c r="O31" i="1"/>
  <c r="N31" i="1"/>
  <c r="M31" i="1"/>
  <c r="L31" i="1"/>
  <c r="J31" i="1"/>
  <c r="H31" i="1"/>
  <c r="F31" i="1"/>
  <c r="X30" i="1"/>
  <c r="O30" i="1"/>
  <c r="N30" i="1"/>
  <c r="M30" i="1"/>
  <c r="L30" i="1"/>
  <c r="H30" i="1"/>
  <c r="F30" i="1"/>
  <c r="J30" i="1" s="1"/>
  <c r="X29" i="1"/>
  <c r="O29" i="1"/>
  <c r="N29" i="1"/>
  <c r="M29" i="1"/>
  <c r="L29" i="1"/>
  <c r="H29" i="1"/>
  <c r="F29" i="1"/>
  <c r="J29" i="1" s="1"/>
  <c r="X28" i="1"/>
  <c r="O28" i="1"/>
  <c r="N28" i="1"/>
  <c r="M28" i="1"/>
  <c r="L28" i="1"/>
  <c r="H28" i="1"/>
  <c r="F28" i="1"/>
  <c r="J28" i="1" s="1"/>
  <c r="X27" i="1"/>
  <c r="O27" i="1"/>
  <c r="N27" i="1"/>
  <c r="M27" i="1"/>
  <c r="L27" i="1"/>
  <c r="H27" i="1"/>
  <c r="F27" i="1"/>
  <c r="J27" i="1" s="1"/>
  <c r="X26" i="1"/>
  <c r="O26" i="1"/>
  <c r="N26" i="1"/>
  <c r="M26" i="1"/>
  <c r="L26" i="1"/>
  <c r="H26" i="1"/>
  <c r="F26" i="1"/>
  <c r="J26" i="1" s="1"/>
  <c r="X25" i="1"/>
  <c r="O25" i="1"/>
  <c r="N25" i="1"/>
  <c r="M25" i="1"/>
  <c r="L25" i="1"/>
  <c r="H25" i="1"/>
  <c r="F25" i="1"/>
  <c r="J25" i="1" s="1"/>
  <c r="X24" i="1"/>
  <c r="O24" i="1"/>
  <c r="N24" i="1"/>
  <c r="M24" i="1"/>
  <c r="L24" i="1"/>
  <c r="H24" i="1"/>
  <c r="F24" i="1"/>
  <c r="J24" i="1" s="1"/>
  <c r="X23" i="1"/>
  <c r="O23" i="1"/>
  <c r="N23" i="1"/>
  <c r="M23" i="1"/>
  <c r="L23" i="1"/>
  <c r="H23" i="1"/>
  <c r="F23" i="1"/>
  <c r="J23" i="1" s="1"/>
  <c r="X22" i="1"/>
  <c r="O22" i="1"/>
  <c r="N22" i="1"/>
  <c r="M22" i="1"/>
  <c r="L22" i="1"/>
  <c r="H22" i="1"/>
  <c r="F22" i="1"/>
  <c r="J22" i="1" s="1"/>
  <c r="X21" i="1"/>
  <c r="O21" i="1"/>
  <c r="N21" i="1"/>
  <c r="M21" i="1"/>
  <c r="L21" i="1"/>
  <c r="H21" i="1"/>
  <c r="F21" i="1"/>
  <c r="J21" i="1" s="1"/>
  <c r="X20" i="1"/>
  <c r="O20" i="1"/>
  <c r="N20" i="1"/>
  <c r="M20" i="1"/>
  <c r="L20" i="1"/>
  <c r="H20" i="1"/>
  <c r="F20" i="1"/>
  <c r="J20" i="1" s="1"/>
  <c r="X19" i="1"/>
  <c r="O19" i="1"/>
  <c r="N19" i="1"/>
  <c r="M19" i="1"/>
  <c r="L19" i="1"/>
  <c r="H19" i="1"/>
  <c r="F19" i="1"/>
  <c r="J19" i="1" s="1"/>
  <c r="X18" i="1"/>
  <c r="O18" i="1"/>
  <c r="N18" i="1"/>
  <c r="M18" i="1"/>
  <c r="L18" i="1"/>
  <c r="J18" i="1"/>
  <c r="H18" i="1"/>
  <c r="F18" i="1"/>
  <c r="X17" i="1"/>
  <c r="O17" i="1"/>
  <c r="N17" i="1"/>
  <c r="M17" i="1"/>
  <c r="L17" i="1"/>
  <c r="H17" i="1"/>
  <c r="F17" i="1"/>
  <c r="J17" i="1" s="1"/>
  <c r="X16" i="1"/>
  <c r="O16" i="1"/>
  <c r="N16" i="1"/>
  <c r="M16" i="1"/>
  <c r="L16" i="1"/>
  <c r="H16" i="1"/>
  <c r="F16" i="1"/>
  <c r="J16" i="1" s="1"/>
  <c r="X15" i="1"/>
  <c r="O15" i="1"/>
  <c r="N15" i="1"/>
  <c r="M15" i="1"/>
  <c r="L15" i="1"/>
  <c r="H15" i="1"/>
  <c r="F15" i="1"/>
  <c r="J15" i="1" s="1"/>
  <c r="X14" i="1"/>
  <c r="O14" i="1"/>
  <c r="N14" i="1"/>
  <c r="M14" i="1"/>
  <c r="L14" i="1"/>
  <c r="H14" i="1"/>
  <c r="F14" i="1"/>
  <c r="J14" i="1" s="1"/>
  <c r="X13" i="1"/>
  <c r="O13" i="1"/>
  <c r="N13" i="1"/>
  <c r="M13" i="1"/>
  <c r="L13" i="1"/>
  <c r="J13" i="1"/>
  <c r="H13" i="1"/>
  <c r="F13" i="1"/>
  <c r="X12" i="1"/>
  <c r="O12" i="1"/>
  <c r="N12" i="1"/>
  <c r="M12" i="1"/>
  <c r="L12" i="1"/>
  <c r="J12" i="1"/>
  <c r="H12" i="1"/>
  <c r="F12" i="1"/>
  <c r="X11" i="1"/>
  <c r="O11" i="1"/>
  <c r="N11" i="1"/>
  <c r="M11" i="1"/>
  <c r="L11" i="1"/>
  <c r="J11" i="1"/>
  <c r="H11" i="1"/>
  <c r="F11" i="1"/>
  <c r="K11" i="1" s="1"/>
  <c r="X10" i="1"/>
  <c r="A3" i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B64" i="1" l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J43" i="1"/>
</calcChain>
</file>

<file path=xl/sharedStrings.xml><?xml version="1.0" encoding="utf-8"?>
<sst xmlns="http://schemas.openxmlformats.org/spreadsheetml/2006/main" count="76" uniqueCount="75">
  <si>
    <t>TABEL 31</t>
  </si>
  <si>
    <t>usus</t>
  </si>
  <si>
    <t>Kapok</t>
  </si>
  <si>
    <t>REKAPITULASI LUAS AREAL, PRODUKSI DAN PRODUKTIVITAS PERKEBUNAN RAKYAT</t>
  </si>
  <si>
    <r>
      <rPr>
        <sz val="11"/>
        <color rgb="FF000000"/>
        <rFont val="Tahoma"/>
      </rPr>
      <t xml:space="preserve">KOMODITAS : </t>
    </r>
    <r>
      <rPr>
        <b/>
        <sz val="11"/>
        <color rgb="FF000000"/>
        <rFont val="Tahoma"/>
      </rPr>
      <t>KAPOK</t>
    </r>
  </si>
  <si>
    <t>No</t>
  </si>
  <si>
    <t>Kabupaten/Kota</t>
  </si>
  <si>
    <t>Areal (Ha)</t>
  </si>
  <si>
    <t xml:space="preserve">Produksi </t>
  </si>
  <si>
    <t>Jumlah Petani Pekebun (KK)</t>
  </si>
  <si>
    <t>Rata0rata Kepemilikan Lahan (Ha/KK)</t>
  </si>
  <si>
    <t>TBM</t>
  </si>
  <si>
    <t>TM</t>
  </si>
  <si>
    <t>TT/TR</t>
  </si>
  <si>
    <t>Jumlah</t>
  </si>
  <si>
    <t>Jumlah (Ton)</t>
  </si>
  <si>
    <t>Rata-rata (Kg/Ha)</t>
  </si>
  <si>
    <t>BERDASARKAN TOTAL AREAL</t>
  </si>
  <si>
    <t>BERDASARKAN JUMLAH PRODUKSI</t>
  </si>
  <si>
    <t>KAB/KOTA</t>
  </si>
  <si>
    <t>TOTAL AREAL</t>
  </si>
  <si>
    <t>PRODUKSI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</si>
  <si>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</si>
  <si>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</si>
  <si>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</si>
  <si>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</si>
  <si>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</si>
  <si>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</si>
  <si>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</si>
  <si>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</si>
  <si>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</si>
  <si>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</si>
  <si>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</si>
  <si>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</si>
  <si>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</si>
  <si>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</si>
  <si>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</si>
  <si>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</si>
  <si>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</si>
  <si>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</si>
  <si>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</si>
  <si>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</si>
  <si>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</si>
  <si>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</si>
  <si>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</si>
  <si>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</si>
  <si>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</si>
  <si>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</si>
  <si>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</si>
  <si>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</si>
  <si>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</si>
  <si>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</si>
  <si>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</si>
  <si>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</si>
  <si>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</si>
  <si>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</si>
  <si>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</si>
  <si>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</si>
  <si>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</si>
  <si>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</si>
  <si>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</si>
  <si>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</si>
  <si>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</si>
  <si>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</si>
  <si>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</si>
  <si>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JAWA TENGAH 2013</t>
  </si>
  <si>
    <t>JAWA TENGAH 2012</t>
  </si>
  <si>
    <t>JAWA TENGAH 2011</t>
  </si>
  <si>
    <t>JAWA TENGAH 2009</t>
  </si>
  <si>
    <t>JAWA TENGAH 2008</t>
  </si>
  <si>
    <t>Wujud Produksi : Serat</t>
  </si>
  <si>
    <t>https://datawrapper.dwcdn.net/BO5yq/1/</t>
  </si>
  <si>
    <t>https://datawrapper.dwcdn.net/D84DT/1/</t>
  </si>
  <si>
    <t>Tahun</t>
  </si>
  <si>
    <t>Produksi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</si>
</sst>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_);_(@_)"/>
    <numFmt numFmtId="165" formatCode="_(* #,##0.00_);_(* \(#,##0.00\);_(* \-??_);_(@_)"/>
    <numFmt numFmtId="166" formatCode="_(* #,##0_);_(* \(#,##0\);_(* \-??_);_(@_)"/>
    <numFmt numFmtId="167" formatCode="_(* #,##0.00_);_(* \(#,##0.00\);_(* \-??.00_);_(@_)"/>
  </numFmts>
  <fonts count="13">
    <font>
      <sz val="10"/>
      <color rgb="FF000000"/>
      <name val="Calibri"/>
      <scheme val="minor"/>
    </font>
    <font>
      <sz val="11"/>
      <color rgb="FF000000"/>
      <name val="Tahoma"/>
    </font>
    <font>
      <sz val="10"/>
      <name val="Calibri"/>
    </font>
    <font>
      <sz val="10"/>
      <color theme="0"/>
      <name val="Arial"/>
    </font>
    <font>
      <sz val="11"/>
      <color rgb="FF000000"/>
      <name val="Inconsolata"/>
    </font>
    <font>
      <b/>
      <sz val="11"/>
      <color rgb="FF000000"/>
      <name val="Tahoma"/>
    </font>
    <font>
      <sz val="12"/>
      <color theme="1"/>
      <name val="Arial"/>
    </font>
    <font>
      <sz val="11"/>
      <color theme="1"/>
      <name val="Tahoma"/>
    </font>
    <font>
      <sz val="10"/>
      <color theme="1"/>
      <name val="Calibri"/>
    </font>
    <font>
      <sz val="11"/>
      <color theme="1"/>
      <name val="Arial"/>
    </font>
    <font>
      <i/>
      <sz val="11"/>
      <color rgb="FF000000"/>
      <name val="Tahoma"/>
    </font>
    <font>
      <u/>
      <sz val="10"/>
      <color rgb="FF0000FF"/>
      <name val="Calibri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3" borderId="0" xfId="0" applyFont="1" applyFill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164" fontId="1" fillId="0" borderId="2" xfId="0" applyNumberFormat="1" applyFont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 wrapText="1"/>
    </xf>
    <xf numFmtId="0" fontId="2" fillId="0" borderId="9" xfId="0" applyFont="1" applyBorder="1"/>
    <xf numFmtId="0" fontId="1" fillId="0" borderId="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" fontId="1" fillId="0" borderId="10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165" fontId="1" fillId="0" borderId="12" xfId="0" applyNumberFormat="1" applyFont="1" applyBorder="1" applyAlignment="1">
      <alignment horizontal="center" vertical="center"/>
    </xf>
    <xf numFmtId="165" fontId="1" fillId="0" borderId="14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165" fontId="1" fillId="3" borderId="12" xfId="0" applyNumberFormat="1" applyFont="1" applyFill="1" applyBorder="1" applyAlignment="1">
      <alignment horizontal="center" vertical="center"/>
    </xf>
    <xf numFmtId="0" fontId="8" fillId="0" borderId="0" xfId="0" applyFont="1"/>
    <xf numFmtId="165" fontId="9" fillId="3" borderId="12" xfId="0" applyNumberFormat="1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1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/>
    </xf>
    <xf numFmtId="165" fontId="1" fillId="0" borderId="15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5" fontId="1" fillId="3" borderId="15" xfId="0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1" fillId="0" borderId="15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7" fillId="0" borderId="17" xfId="0" applyFont="1" applyBorder="1" applyAlignment="1">
      <alignment horizontal="left" vertical="center"/>
    </xf>
    <xf numFmtId="0" fontId="1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left" vertical="center"/>
    </xf>
    <xf numFmtId="165" fontId="1" fillId="0" borderId="18" xfId="0" applyNumberFormat="1" applyFont="1" applyBorder="1" applyAlignment="1">
      <alignment horizontal="center" vertical="center"/>
    </xf>
    <xf numFmtId="165" fontId="1" fillId="0" borderId="20" xfId="0" applyNumberFormat="1" applyFont="1" applyBorder="1" applyAlignment="1">
      <alignment horizontal="center" vertical="center"/>
    </xf>
    <xf numFmtId="166" fontId="1" fillId="0" borderId="18" xfId="0" applyNumberFormat="1" applyFont="1" applyBorder="1" applyAlignment="1">
      <alignment horizontal="center" vertical="center"/>
    </xf>
    <xf numFmtId="165" fontId="1" fillId="3" borderId="20" xfId="0" applyNumberFormat="1" applyFont="1" applyFill="1" applyBorder="1" applyAlignment="1">
      <alignment horizontal="center" vertical="center"/>
    </xf>
    <xf numFmtId="0" fontId="7" fillId="0" borderId="21" xfId="0" applyFont="1" applyBorder="1" applyAlignment="1">
      <alignment horizontal="left" vertical="center"/>
    </xf>
    <xf numFmtId="0" fontId="7" fillId="0" borderId="22" xfId="0" applyFont="1" applyBorder="1" applyAlignment="1">
      <alignment horizontal="center" vertical="center"/>
    </xf>
    <xf numFmtId="0" fontId="2" fillId="0" borderId="11" xfId="0" applyFont="1" applyBorder="1"/>
    <xf numFmtId="165" fontId="1" fillId="0" borderId="8" xfId="0" applyNumberFormat="1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167" fontId="1" fillId="0" borderId="9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66" fontId="1" fillId="0" borderId="9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6" fontId="1" fillId="0" borderId="10" xfId="0" applyNumberFormat="1" applyFont="1" applyBorder="1" applyAlignment="1">
      <alignment horizontal="center" vertical="center"/>
    </xf>
    <xf numFmtId="166" fontId="1" fillId="0" borderId="22" xfId="0" applyNumberFormat="1" applyFont="1" applyBorder="1" applyAlignment="1">
      <alignment horizontal="center" vertical="center"/>
    </xf>
    <xf numFmtId="0" fontId="10" fillId="2" borderId="0" xfId="0" applyFont="1" applyFill="1" applyAlignment="1">
      <alignment horizontal="left"/>
    </xf>
    <xf numFmtId="165" fontId="10" fillId="2" borderId="0" xfId="0" applyNumberFormat="1" applyFont="1" applyFill="1" applyAlignment="1">
      <alignment horizontal="center"/>
    </xf>
    <xf numFmtId="164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1" fillId="0" borderId="0" xfId="0" applyFont="1"/>
    <xf numFmtId="0" fontId="12" fillId="3" borderId="0" xfId="0" applyFont="1" applyFill="1" applyAlignment="1">
      <alignment horizontal="right"/>
    </xf>
    <xf numFmtId="165" fontId="12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Kapok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2831079515360169"/>
          <c:y val="0.15567660550458715"/>
          <c:w val="0.84086293365995746"/>
          <c:h val="0.36496559633027525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Kapok!$L$11:$L$42</c:f>
              <c:strCache>
                <c:ptCount val="22"/>
                <c:pt idx="0">
                  <c:v>Kab. Jepara</c:v>
                </c:pt>
                <c:pt idx="1">
                  <c:v>Kab. Pati</c:v>
                </c:pt>
                <c:pt idx="2">
                  <c:v>Kab. Sragen</c:v>
                </c:pt>
                <c:pt idx="3">
                  <c:v>Kab. Rembang</c:v>
                </c:pt>
                <c:pt idx="4">
                  <c:v>Kab. Kudus</c:v>
                </c:pt>
                <c:pt idx="5">
                  <c:v>Kab. Sukoharjo</c:v>
                </c:pt>
                <c:pt idx="6">
                  <c:v>Kab. Kendal</c:v>
                </c:pt>
                <c:pt idx="7">
                  <c:v>Kab. Blora</c:v>
                </c:pt>
                <c:pt idx="8">
                  <c:v>Kab. Grobogan</c:v>
                </c:pt>
                <c:pt idx="9">
                  <c:v>Kab. Klaten</c:v>
                </c:pt>
                <c:pt idx="10">
                  <c:v>Kab. Semarang</c:v>
                </c:pt>
                <c:pt idx="11">
                  <c:v>Kab. Batang</c:v>
                </c:pt>
                <c:pt idx="12">
                  <c:v>Kab. Wonogiri</c:v>
                </c:pt>
                <c:pt idx="13">
                  <c:v>Kab. Kebumen</c:v>
                </c:pt>
                <c:pt idx="14">
                  <c:v>Kab. Wonosobo</c:v>
                </c:pt>
                <c:pt idx="15">
                  <c:v>Kab. Boyolali</c:v>
                </c:pt>
                <c:pt idx="16">
                  <c:v>Kab. Pekalongan</c:v>
                </c:pt>
                <c:pt idx="17">
                  <c:v>Kab. Banjarnegara</c:v>
                </c:pt>
                <c:pt idx="18">
                  <c:v>Kab. Temanggung</c:v>
                </c:pt>
                <c:pt idx="19">
                  <c:v>Kab. Tegal</c:v>
                </c:pt>
                <c:pt idx="20">
                  <c:v>Kab. Purworejo</c:v>
                </c:pt>
                <c:pt idx="21">
                  <c:v>Kab. Karanganyar</c:v>
                </c:pt>
              </c:strCache>
            </c:strRef>
          </c:cat>
          <c:val>
            <c:numRef>
              <c:f>Kapok!$M$11:$M$42</c:f>
              <c:numCache>
                <c:formatCode>_(* #,##0.00_);_(* \(#,##0.00\);_(* \-??_);_(@_)</c:formatCode>
                <c:ptCount val="32"/>
                <c:pt idx="0">
                  <c:v>10505.33</c:v>
                </c:pt>
                <c:pt idx="1">
                  <c:v>7881.33</c:v>
                </c:pt>
                <c:pt idx="2">
                  <c:v>619.96</c:v>
                </c:pt>
                <c:pt idx="3">
                  <c:v>543</c:v>
                </c:pt>
                <c:pt idx="4">
                  <c:v>462.42</c:v>
                </c:pt>
                <c:pt idx="5">
                  <c:v>434.18</c:v>
                </c:pt>
                <c:pt idx="6">
                  <c:v>298.24</c:v>
                </c:pt>
                <c:pt idx="7">
                  <c:v>255</c:v>
                </c:pt>
                <c:pt idx="8">
                  <c:v>225</c:v>
                </c:pt>
                <c:pt idx="9">
                  <c:v>199.82</c:v>
                </c:pt>
                <c:pt idx="10">
                  <c:v>120.8</c:v>
                </c:pt>
                <c:pt idx="11">
                  <c:v>102.81</c:v>
                </c:pt>
                <c:pt idx="12">
                  <c:v>49</c:v>
                </c:pt>
                <c:pt idx="13">
                  <c:v>45</c:v>
                </c:pt>
                <c:pt idx="14">
                  <c:v>20.299999999999901</c:v>
                </c:pt>
                <c:pt idx="15">
                  <c:v>17.75</c:v>
                </c:pt>
                <c:pt idx="16">
                  <c:v>14.93</c:v>
                </c:pt>
                <c:pt idx="17">
                  <c:v>8.36</c:v>
                </c:pt>
                <c:pt idx="18">
                  <c:v>7.01</c:v>
                </c:pt>
                <c:pt idx="19">
                  <c:v>6.05</c:v>
                </c:pt>
                <c:pt idx="20">
                  <c:v>1.71</c:v>
                </c:pt>
                <c:pt idx="21">
                  <c:v>1.01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DE66-4DBA-A555-937513A52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03328598"/>
        <c:axId val="1811342572"/>
      </c:barChart>
      <c:catAx>
        <c:axId val="90332859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811342572"/>
        <c:crosses val="autoZero"/>
        <c:auto val="1"/>
        <c:lblAlgn val="ctr"/>
        <c:lblOffset val="100"/>
        <c:noMultiLvlLbl val="1"/>
      </c:catAx>
      <c:valAx>
        <c:axId val="1811342572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90332859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Kapok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9.3095712861415686E-2"/>
          <c:y val="0.15047590541753969"/>
          <c:w val="0.86748277893591963"/>
          <c:h val="0.4468003591738999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Kapok!$N$11:$N$42</c:f>
              <c:strCache>
                <c:ptCount val="21"/>
                <c:pt idx="0">
                  <c:v>Kab. Jepara</c:v>
                </c:pt>
                <c:pt idx="1">
                  <c:v>Kab. Pati</c:v>
                </c:pt>
                <c:pt idx="2">
                  <c:v>Kab. Rembang</c:v>
                </c:pt>
                <c:pt idx="3">
                  <c:v>Kab. Sragen</c:v>
                </c:pt>
                <c:pt idx="4">
                  <c:v>Kab. Kendal</c:v>
                </c:pt>
                <c:pt idx="5">
                  <c:v>Kab. Sukoharjo</c:v>
                </c:pt>
                <c:pt idx="6">
                  <c:v>Kab. Kudus</c:v>
                </c:pt>
                <c:pt idx="7">
                  <c:v>Kab. Klaten</c:v>
                </c:pt>
                <c:pt idx="8">
                  <c:v>Kab. Grobogan</c:v>
                </c:pt>
                <c:pt idx="9">
                  <c:v>Kab. Batang</c:v>
                </c:pt>
                <c:pt idx="10">
                  <c:v>Kab. Semarang</c:v>
                </c:pt>
                <c:pt idx="11">
                  <c:v>Kab. Kebumen</c:v>
                </c:pt>
                <c:pt idx="12">
                  <c:v>Kab. Blora</c:v>
                </c:pt>
                <c:pt idx="13">
                  <c:v>Kab. Wonosobo</c:v>
                </c:pt>
                <c:pt idx="14">
                  <c:v>Kab. Wonogiri</c:v>
                </c:pt>
                <c:pt idx="15">
                  <c:v>Kab. Pekalongan</c:v>
                </c:pt>
                <c:pt idx="16">
                  <c:v>Kab. Boyolali</c:v>
                </c:pt>
                <c:pt idx="17">
                  <c:v>Kab. Tegal</c:v>
                </c:pt>
                <c:pt idx="18">
                  <c:v>Kab. Temanggung</c:v>
                </c:pt>
                <c:pt idx="19">
                  <c:v>Kab. Banjarnegara</c:v>
                </c:pt>
                <c:pt idx="20">
                  <c:v>Kab. Purworejo</c:v>
                </c:pt>
              </c:strCache>
            </c:strRef>
          </c:cat>
          <c:val>
            <c:numRef>
              <c:f>Kapok!$O$11:$O$42</c:f>
              <c:numCache>
                <c:formatCode>_(* #,##0.00_);_(* \(#,##0.00\);_(* \-??_);_(@_)</c:formatCode>
                <c:ptCount val="32"/>
                <c:pt idx="0">
                  <c:v>2152.31</c:v>
                </c:pt>
                <c:pt idx="1">
                  <c:v>1917.25</c:v>
                </c:pt>
                <c:pt idx="2">
                  <c:v>119.32</c:v>
                </c:pt>
                <c:pt idx="3">
                  <c:v>79.599999999999994</c:v>
                </c:pt>
                <c:pt idx="4">
                  <c:v>70.27</c:v>
                </c:pt>
                <c:pt idx="5">
                  <c:v>70.180000000000007</c:v>
                </c:pt>
                <c:pt idx="6">
                  <c:v>58.31</c:v>
                </c:pt>
                <c:pt idx="7">
                  <c:v>39.159999999999997</c:v>
                </c:pt>
                <c:pt idx="8">
                  <c:v>37.36</c:v>
                </c:pt>
                <c:pt idx="9">
                  <c:v>24.99</c:v>
                </c:pt>
                <c:pt idx="10">
                  <c:v>23.42</c:v>
                </c:pt>
                <c:pt idx="11">
                  <c:v>21.99</c:v>
                </c:pt>
                <c:pt idx="12">
                  <c:v>16.41</c:v>
                </c:pt>
                <c:pt idx="13">
                  <c:v>5.28</c:v>
                </c:pt>
                <c:pt idx="14">
                  <c:v>5.22</c:v>
                </c:pt>
                <c:pt idx="15">
                  <c:v>4.62</c:v>
                </c:pt>
                <c:pt idx="16">
                  <c:v>1.03</c:v>
                </c:pt>
                <c:pt idx="17">
                  <c:v>1.03</c:v>
                </c:pt>
                <c:pt idx="18">
                  <c:v>0.95</c:v>
                </c:pt>
                <c:pt idx="19">
                  <c:v>0.26</c:v>
                </c:pt>
                <c:pt idx="20">
                  <c:v>0.12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5AC-442B-AE79-2711333A8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37759418"/>
        <c:axId val="1518898166"/>
      </c:barChart>
      <c:catAx>
        <c:axId val="173775941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518898166"/>
        <c:crosses val="autoZero"/>
        <c:auto val="1"/>
        <c:lblAlgn val="ctr"/>
        <c:lblOffset val="100"/>
        <c:noMultiLvlLbl val="1"/>
      </c:catAx>
      <c:valAx>
        <c:axId val="1518898166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737759418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Kapok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</a:ln>
          </c:spPr>
          <c:marker>
            <c:symbol val="circle"/>
            <c:size val="7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Kapok!$B$64:$B$69</c:f>
              <c:strCache>
                <c:ptCount val="6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  <c:pt idx="5">
                  <c:v>2019</c:v>
                </c:pt>
              </c:strCache>
            </c:strRef>
          </c:cat>
          <c:val>
            <c:numRef>
              <c:f>Kapok!$C$64:$C$69</c:f>
              <c:numCache>
                <c:formatCode>_(* #,##0.00_);_(* \(#,##0.00\);_(* \-??_);_(@_)</c:formatCode>
                <c:ptCount val="6"/>
                <c:pt idx="0">
                  <c:v>4649.079999999999</c:v>
                </c:pt>
                <c:pt idx="1">
                  <c:v>5043.9599999999991</c:v>
                </c:pt>
                <c:pt idx="2">
                  <c:v>5532.6400000000012</c:v>
                </c:pt>
                <c:pt idx="3">
                  <c:v>6011.05</c:v>
                </c:pt>
                <c:pt idx="4">
                  <c:v>6674.2066164000007</c:v>
                </c:pt>
                <c:pt idx="5">
                  <c:v>7336.0912917745682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F4-4978-B42A-0B4803DE3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4098487"/>
        <c:axId val="293704252"/>
      </c:lineChart>
      <c:catAx>
        <c:axId val="6740984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293704252"/>
        <c:crosses val="autoZero"/>
        <c:auto val="1"/>
        <c:lblAlgn val="ctr"/>
        <c:lblOffset val="100"/>
        <c:noMultiLvlLbl val="1"/>
      </c:catAx>
      <c:valAx>
        <c:axId val="29370425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4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674098487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9</xdr:row>
      <xdr:rowOff>0</xdr:rowOff>
    </xdr:from>
    <xdr:ext cx="4495800" cy="2771775"/>
    <xdr:graphicFrame macro="">
      <xdr:nvGraphicFramePr>
        <xdr:cNvPr id="2" name="Chart 99" title="Chart">
          <a:extLst>
            <a:ext uri="{FF2B5EF4-FFF2-40B4-BE49-F238E27FC236}">
              <a16:creationId xmlns:a16="http://schemas.microsoft.com/office/drawing/2014/main" id="{13472F8F-BC23-4E42-928A-70BB10F9BD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15</xdr:col>
      <xdr:colOff>257175</xdr:colOff>
      <xdr:row>27</xdr:row>
      <xdr:rowOff>28575</xdr:rowOff>
    </xdr:from>
    <xdr:ext cx="4743450" cy="3257550"/>
    <xdr:graphicFrame macro="">
      <xdr:nvGraphicFramePr>
        <xdr:cNvPr id="3" name="Chart 100" title="Chart">
          <a:extLst>
            <a:ext uri="{FF2B5EF4-FFF2-40B4-BE49-F238E27FC236}">
              <a16:creationId xmlns:a16="http://schemas.microsoft.com/office/drawing/2014/main" id="{F8486250-FBE0-47FA-96EF-171C0CE996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0</xdr:colOff>
      <xdr:row>59</xdr:row>
      <xdr:rowOff>95250</xdr:rowOff>
    </xdr:from>
    <xdr:ext cx="5467350" cy="2714625"/>
    <xdr:graphicFrame macro="">
      <xdr:nvGraphicFramePr>
        <xdr:cNvPr id="4" name="Chart 101" title="Chart">
          <a:extLst>
            <a:ext uri="{FF2B5EF4-FFF2-40B4-BE49-F238E27FC236}">
              <a16:creationId xmlns:a16="http://schemas.microsoft.com/office/drawing/2014/main" id="{56DF76C7-A9CD-4F38-A18B-B05A2F1318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13</xdr:col>
      <xdr:colOff>609600</xdr:colOff>
      <xdr:row>59</xdr:row>
      <xdr:rowOff>152400</xdr:rowOff>
    </xdr:from>
    <xdr:ext cx="6562725" cy="5953125"/>
    <xdr:pic>
      <xdr:nvPicPr>
        <xdr:cNvPr id="5" name="image51.png" title="Gambar">
          <a:extLst>
            <a:ext uri="{FF2B5EF4-FFF2-40B4-BE49-F238E27FC236}">
              <a16:creationId xmlns:a16="http://schemas.microsoft.com/office/drawing/2014/main" id="{F117926E-2189-4EF7-AAB2-746AD9A6D2E7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10458450" y="8181975"/>
          <a:ext cx="6562725" cy="5953125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47625</xdr:colOff>
      <xdr:row>60</xdr:row>
      <xdr:rowOff>28575</xdr:rowOff>
    </xdr:from>
    <xdr:ext cx="4981575" cy="4514850"/>
    <xdr:pic>
      <xdr:nvPicPr>
        <xdr:cNvPr id="6" name="image57.png" title="Image">
          <a:extLst>
            <a:ext uri="{FF2B5EF4-FFF2-40B4-BE49-F238E27FC236}">
              <a16:creationId xmlns:a16="http://schemas.microsoft.com/office/drawing/2014/main" id="{08BE0C8F-94B4-4248-A74F-E671191C35E3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5610225" y="8220075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">
          <cell r="A3" t="str">
            <v>TANAMAN TAHUNAN DI JAWA TENGAH TAHUN 2024</v>
          </cell>
        </row>
      </sheetData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1">
          <cell r="L11" t="str">
            <v>Kab. Jepara</v>
          </cell>
          <cell r="M11">
            <v>10505.33</v>
          </cell>
          <cell r="N11" t="str">
            <v>Kab. Jepara</v>
          </cell>
          <cell r="O11">
            <v>2152.31</v>
          </cell>
        </row>
        <row r="12">
          <cell r="L12" t="str">
            <v>Kab. Pati</v>
          </cell>
          <cell r="M12">
            <v>7881.33</v>
          </cell>
          <cell r="N12" t="str">
            <v>Kab. Pati</v>
          </cell>
          <cell r="O12">
            <v>1917.25</v>
          </cell>
        </row>
        <row r="13">
          <cell r="L13" t="str">
            <v>Kab. Sragen</v>
          </cell>
          <cell r="M13">
            <v>619.96</v>
          </cell>
          <cell r="N13" t="str">
            <v>Kab. Rembang</v>
          </cell>
          <cell r="O13">
            <v>119.32</v>
          </cell>
        </row>
        <row r="14">
          <cell r="L14" t="str">
            <v>Kab. Rembang</v>
          </cell>
          <cell r="M14">
            <v>543</v>
          </cell>
          <cell r="N14" t="str">
            <v>Kab. Sragen</v>
          </cell>
          <cell r="O14">
            <v>79.599999999999994</v>
          </cell>
        </row>
        <row r="15">
          <cell r="L15" t="str">
            <v>Kab. Kudus</v>
          </cell>
          <cell r="M15">
            <v>462.42</v>
          </cell>
          <cell r="N15" t="str">
            <v>Kab. Kendal</v>
          </cell>
          <cell r="O15">
            <v>70.27</v>
          </cell>
        </row>
        <row r="16">
          <cell r="L16" t="str">
            <v>Kab. Sukoharjo</v>
          </cell>
          <cell r="M16">
            <v>434.18</v>
          </cell>
          <cell r="N16" t="str">
            <v>Kab. Sukoharjo</v>
          </cell>
          <cell r="O16">
            <v>70.180000000000007</v>
          </cell>
        </row>
        <row r="17">
          <cell r="L17" t="str">
            <v>Kab. Kendal</v>
          </cell>
          <cell r="M17">
            <v>298.24</v>
          </cell>
          <cell r="N17" t="str">
            <v>Kab. Kudus</v>
          </cell>
          <cell r="O17">
            <v>58.31</v>
          </cell>
        </row>
        <row r="18">
          <cell r="L18" t="str">
            <v>Kab. Blora</v>
          </cell>
          <cell r="M18">
            <v>255</v>
          </cell>
          <cell r="N18" t="str">
            <v>Kab. Klaten</v>
          </cell>
          <cell r="O18">
            <v>39.159999999999997</v>
          </cell>
        </row>
        <row r="19">
          <cell r="L19" t="str">
            <v>Kab. Grobogan</v>
          </cell>
          <cell r="M19">
            <v>225</v>
          </cell>
          <cell r="N19" t="str">
            <v>Kab. Grobogan</v>
          </cell>
          <cell r="O19">
            <v>37.36</v>
          </cell>
        </row>
        <row r="20">
          <cell r="L20" t="str">
            <v>Kab. Klaten</v>
          </cell>
          <cell r="M20">
            <v>199.82</v>
          </cell>
          <cell r="N20" t="str">
            <v>Kab. Batang</v>
          </cell>
          <cell r="O20">
            <v>24.99</v>
          </cell>
        </row>
        <row r="21">
          <cell r="L21" t="str">
            <v>Kab. Semarang</v>
          </cell>
          <cell r="M21">
            <v>120.8</v>
          </cell>
          <cell r="N21" t="str">
            <v>Kab. Semarang</v>
          </cell>
          <cell r="O21">
            <v>23.42</v>
          </cell>
        </row>
        <row r="22">
          <cell r="L22" t="str">
            <v>Kab. Batang</v>
          </cell>
          <cell r="M22">
            <v>102.81</v>
          </cell>
          <cell r="N22" t="str">
            <v>Kab. Kebumen</v>
          </cell>
          <cell r="O22">
            <v>21.99</v>
          </cell>
        </row>
        <row r="23">
          <cell r="L23" t="str">
            <v>Kab. Wonogiri</v>
          </cell>
          <cell r="M23">
            <v>49</v>
          </cell>
          <cell r="N23" t="str">
            <v>Kab. Blora</v>
          </cell>
          <cell r="O23">
            <v>16.41</v>
          </cell>
        </row>
        <row r="24">
          <cell r="L24" t="str">
            <v>Kab. Kebumen</v>
          </cell>
          <cell r="M24">
            <v>45</v>
          </cell>
          <cell r="N24" t="str">
            <v>Kab. Wonosobo</v>
          </cell>
          <cell r="O24">
            <v>5.28</v>
          </cell>
        </row>
        <row r="25">
          <cell r="L25" t="str">
            <v>Kab. Wonosobo</v>
          </cell>
          <cell r="M25">
            <v>20.299999999999901</v>
          </cell>
          <cell r="N25" t="str">
            <v>Kab. Wonogiri</v>
          </cell>
          <cell r="O25">
            <v>5.22</v>
          </cell>
        </row>
        <row r="26">
          <cell r="L26" t="str">
            <v>Kab. Boyolali</v>
          </cell>
          <cell r="M26">
            <v>17.75</v>
          </cell>
          <cell r="N26" t="str">
            <v>Kab. Pekalongan</v>
          </cell>
          <cell r="O26">
            <v>4.62</v>
          </cell>
        </row>
        <row r="27">
          <cell r="L27" t="str">
            <v>Kab. Pekalongan</v>
          </cell>
          <cell r="M27">
            <v>14.93</v>
          </cell>
          <cell r="N27" t="str">
            <v>Kab. Boyolali</v>
          </cell>
          <cell r="O27">
            <v>1.03</v>
          </cell>
        </row>
        <row r="28">
          <cell r="L28" t="str">
            <v>Kab. Banjarnegara</v>
          </cell>
          <cell r="M28">
            <v>8.36</v>
          </cell>
          <cell r="N28" t="str">
            <v>Kab. Tegal</v>
          </cell>
          <cell r="O28">
            <v>1.03</v>
          </cell>
        </row>
        <row r="29">
          <cell r="L29" t="str">
            <v>Kab. Temanggung</v>
          </cell>
          <cell r="M29">
            <v>7.01</v>
          </cell>
          <cell r="N29" t="str">
            <v>Kab. Temanggung</v>
          </cell>
          <cell r="O29">
            <v>0.95</v>
          </cell>
        </row>
        <row r="30">
          <cell r="L30" t="str">
            <v>Kab. Tegal</v>
          </cell>
          <cell r="M30">
            <v>6.05</v>
          </cell>
          <cell r="N30" t="str">
            <v>Kab. Banjarnegara</v>
          </cell>
          <cell r="O30">
            <v>0.26</v>
          </cell>
        </row>
        <row r="31">
          <cell r="L31" t="str">
            <v>Kab. Purworejo</v>
          </cell>
          <cell r="M31">
            <v>1.71</v>
          </cell>
          <cell r="N31" t="str">
            <v>Kab. Purworejo</v>
          </cell>
          <cell r="O31">
            <v>0.12</v>
          </cell>
        </row>
        <row r="32">
          <cell r="L32" t="str">
            <v>Kab. Karanganyar</v>
          </cell>
          <cell r="M32">
            <v>1.01</v>
          </cell>
        </row>
        <row r="64">
          <cell r="B64" t="str">
            <v>2024</v>
          </cell>
          <cell r="C64">
            <v>4649.079999999999</v>
          </cell>
        </row>
        <row r="65">
          <cell r="B65" t="str">
            <v>2023</v>
          </cell>
          <cell r="C65">
            <v>5043.9599999999991</v>
          </cell>
        </row>
        <row r="66">
          <cell r="B66" t="str">
            <v>2022</v>
          </cell>
          <cell r="C66">
            <v>5532.6400000000012</v>
          </cell>
        </row>
        <row r="67">
          <cell r="B67" t="str">
            <v>2021</v>
          </cell>
          <cell r="C67">
            <v>6011.05</v>
          </cell>
        </row>
        <row r="68">
          <cell r="B68" t="str">
            <v>2020</v>
          </cell>
          <cell r="C68">
            <v>6674.2066164000007</v>
          </cell>
        </row>
        <row r="69">
          <cell r="B69" t="str">
            <v>2019</v>
          </cell>
          <cell r="C69">
            <v>7336.0912917745682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D84DT/1/" TargetMode="External"/><Relationship Id="rId1" Type="http://schemas.openxmlformats.org/officeDocument/2006/relationships/hyperlink" Target="https://datawrapper.dwcdn.net/BO5yq/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F36C1-3665-4098-93A6-26FEE4512578}">
  <sheetPr>
    <tabColor rgb="FF974806"/>
    <pageSetUpPr fitToPage="1"/>
  </sheetPr>
  <dimension ref="A1:AA1003"/>
  <sheetViews>
    <sheetView tabSelected="1" workbookViewId="0">
      <selection sqref="A1:J1"/>
    </sheetView>
  </sheetViews>
  <sheetFormatPr defaultColWidth="14.42578125" defaultRowHeight="15" customHeight="1"/>
  <cols>
    <col min="1" max="1" width="4.85546875" customWidth="1"/>
    <col min="2" max="2" width="18.42578125" customWidth="1"/>
    <col min="3" max="3" width="11.140625" customWidth="1"/>
    <col min="4" max="4" width="12.42578125" customWidth="1"/>
    <col min="5" max="5" width="11.42578125" customWidth="1"/>
    <col min="6" max="6" width="12.85546875" customWidth="1"/>
    <col min="7" max="7" width="12.28515625" customWidth="1"/>
    <col min="8" max="9" width="11" customWidth="1"/>
    <col min="10" max="10" width="12" customWidth="1"/>
    <col min="11" max="12" width="9.140625" customWidth="1"/>
    <col min="13" max="13" width="12" customWidth="1"/>
    <col min="14" max="14" width="9.140625" customWidth="1"/>
    <col min="15" max="15" width="11.140625" customWidth="1"/>
    <col min="16" max="23" width="9.140625" customWidth="1"/>
    <col min="24" max="24" width="9.140625" hidden="1" customWidth="1"/>
    <col min="25" max="27" width="9.140625" customWidth="1"/>
  </cols>
  <sheetData>
    <row r="1" spans="1:27" ht="12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 t="s">
        <v>1</v>
      </c>
      <c r="L1" s="3"/>
      <c r="M1" s="3"/>
      <c r="N1" s="3"/>
      <c r="O1" s="3"/>
      <c r="AA1" s="4" t="s">
        <v>2</v>
      </c>
    </row>
    <row r="2" spans="1:27" ht="12.75" customHeight="1">
      <c r="A2" s="1" t="s">
        <v>3</v>
      </c>
      <c r="B2" s="2"/>
      <c r="C2" s="2"/>
      <c r="D2" s="2"/>
      <c r="E2" s="2"/>
      <c r="F2" s="2"/>
      <c r="G2" s="2"/>
      <c r="H2" s="2"/>
      <c r="I2" s="2"/>
      <c r="J2" s="2"/>
    </row>
    <row r="3" spans="1:27" ht="12.75" customHeight="1">
      <c r="A3" s="1" t="str">
        <f>[1]Aren!$A$3</f>
        <v>TANAMAN TAHUNAN DI JAWA TENGAH TAHUN 2024</v>
      </c>
      <c r="B3" s="2"/>
      <c r="C3" s="2"/>
      <c r="D3" s="2"/>
      <c r="E3" s="2"/>
      <c r="F3" s="2"/>
      <c r="G3" s="2"/>
      <c r="H3" s="2"/>
      <c r="I3" s="2"/>
      <c r="J3" s="2"/>
    </row>
    <row r="4" spans="1:27" ht="12.75" customHeight="1">
      <c r="A4" s="1" t="s">
        <v>4</v>
      </c>
      <c r="B4" s="2"/>
      <c r="C4" s="2"/>
      <c r="D4" s="2"/>
      <c r="E4" s="2"/>
      <c r="F4" s="2"/>
      <c r="G4" s="2"/>
      <c r="H4" s="2"/>
      <c r="I4" s="2"/>
      <c r="J4" s="2"/>
    </row>
    <row r="5" spans="1:27" ht="12.75" customHeight="1">
      <c r="A5" s="5"/>
      <c r="B5" s="6"/>
      <c r="C5" s="6"/>
      <c r="D5" s="6"/>
      <c r="E5" s="6"/>
      <c r="F5" s="6"/>
      <c r="G5" s="6"/>
      <c r="H5" s="6"/>
      <c r="I5" s="6"/>
      <c r="J5" s="6"/>
    </row>
    <row r="6" spans="1:27" ht="12.75" customHeight="1">
      <c r="A6" s="7" t="s">
        <v>5</v>
      </c>
      <c r="B6" s="7" t="s">
        <v>6</v>
      </c>
      <c r="C6" s="8" t="s">
        <v>7</v>
      </c>
      <c r="D6" s="9"/>
      <c r="E6" s="9"/>
      <c r="F6" s="10"/>
      <c r="G6" s="11" t="s">
        <v>8</v>
      </c>
      <c r="H6" s="10"/>
      <c r="I6" s="12" t="s">
        <v>9</v>
      </c>
      <c r="J6" s="13" t="s">
        <v>10</v>
      </c>
    </row>
    <row r="7" spans="1:27" ht="12.75" customHeight="1">
      <c r="A7" s="14"/>
      <c r="B7" s="14"/>
      <c r="C7" s="15"/>
      <c r="D7" s="6"/>
      <c r="E7" s="6"/>
      <c r="F7" s="16"/>
      <c r="G7" s="15"/>
      <c r="H7" s="16"/>
      <c r="I7" s="14"/>
      <c r="J7" s="14"/>
    </row>
    <row r="8" spans="1:27" ht="12.75" customHeight="1">
      <c r="A8" s="14"/>
      <c r="B8" s="14"/>
      <c r="C8" s="7" t="s">
        <v>11</v>
      </c>
      <c r="D8" s="7" t="s">
        <v>12</v>
      </c>
      <c r="E8" s="7" t="s">
        <v>13</v>
      </c>
      <c r="F8" s="7" t="s">
        <v>14</v>
      </c>
      <c r="G8" s="17" t="s">
        <v>15</v>
      </c>
      <c r="H8" s="12" t="s">
        <v>16</v>
      </c>
      <c r="I8" s="14"/>
      <c r="J8" s="14"/>
      <c r="L8" s="18" t="s">
        <v>17</v>
      </c>
      <c r="M8" s="2"/>
      <c r="N8" s="18" t="s">
        <v>18</v>
      </c>
      <c r="O8" s="2"/>
    </row>
    <row r="9" spans="1:27" ht="20.25" customHeight="1">
      <c r="A9" s="19"/>
      <c r="B9" s="19"/>
      <c r="C9" s="19"/>
      <c r="D9" s="19"/>
      <c r="E9" s="19"/>
      <c r="F9" s="19"/>
      <c r="G9" s="14"/>
      <c r="H9" s="19"/>
      <c r="I9" s="19"/>
      <c r="J9" s="14"/>
      <c r="L9" s="2"/>
      <c r="M9" s="2"/>
      <c r="N9" s="2"/>
      <c r="O9" s="2"/>
    </row>
    <row r="10" spans="1:27" ht="12.75" customHeight="1">
      <c r="A10" s="20">
        <v>1</v>
      </c>
      <c r="B10" s="21">
        <v>2</v>
      </c>
      <c r="C10" s="22">
        <v>4</v>
      </c>
      <c r="D10" s="22">
        <v>5</v>
      </c>
      <c r="E10" s="22">
        <v>6</v>
      </c>
      <c r="F10" s="23">
        <v>3</v>
      </c>
      <c r="G10" s="24">
        <v>7</v>
      </c>
      <c r="H10" s="25">
        <v>8</v>
      </c>
      <c r="I10" s="26">
        <v>9</v>
      </c>
      <c r="J10" s="27">
        <v>10</v>
      </c>
      <c r="L10" s="28" t="s">
        <v>19</v>
      </c>
      <c r="M10" s="28" t="s">
        <v>20</v>
      </c>
      <c r="N10" s="28" t="s">
        <v>19</v>
      </c>
      <c r="O10" s="28" t="s">
        <v>21</v>
      </c>
      <c r="X10" s="29" t="str">
        <f>UPPER(AA1)</f>
        <v>KAPOK</v>
      </c>
    </row>
    <row r="11" spans="1:27" ht="12.75" customHeight="1">
      <c r="A11" s="30">
        <v>1</v>
      </c>
      <c r="B11" s="31" t="s">
        <v>22</v>
      </c>
      <c r="C11" s="32">
        <v>0</v>
      </c>
      <c r="D11" s="32">
        <v>0</v>
      </c>
      <c r="E11" s="32">
        <v>0</v>
      </c>
      <c r="F11" s="33">
        <f t="shared" ref="F11:F42" si="0">SUM(C11:E11)</f>
        <v>0</v>
      </c>
      <c r="G11" s="32">
        <v>0</v>
      </c>
      <c r="H11" s="34">
        <f t="shared" ref="H11:H42" si="1">IFERROR(G11/D11*1000,0)</f>
        <v>0</v>
      </c>
      <c r="I11" s="34">
        <v>0</v>
      </c>
      <c r="J11" s="35">
        <f t="shared" ref="J11:J43" si="2">IF(I11=0,0,F11/I11)</f>
        <v>0</v>
      </c>
      <c r="K11" s="36" t="str">
        <f>IF(F11=0,"",IF(G11=F11,"SALAH",""))</f>
        <v/>
      </c>
      <c r="L11" s="31" t="str">
        <f ca="1">IFERROR(__xludf.DUMMYFUNCTION("QUERY($B$11:$H$42,""select B where F&lt;&gt;0 Order By F desc"")"),"Kab. Jepara")</f>
        <v>Kab. Jepara</v>
      </c>
      <c r="M11" s="37">
        <f ca="1">IFERROR(__xludf.DUMMYFUNCTION("QUERY($B$11:$H$42,""select F where F&lt;&gt;0 Order By F desc"")"),10505.33)</f>
        <v>10505.33</v>
      </c>
      <c r="N11" s="31" t="str">
        <f ca="1">IFERROR(__xludf.DUMMYFUNCTION("QUERY($B$11:$H$42,""select B where G&lt;&gt;0 Order By G desc"")"),"Kab. Jepara")</f>
        <v>Kab. Jepara</v>
      </c>
      <c r="O11" s="37">
        <f ca="1">IFERROR(__xludf.DUMMYFUNCTION("QUERY($B$11:$H$42,""select G where G&lt;&gt;0 Order By G desc"")"),2152.31)</f>
        <v>2152.31</v>
      </c>
      <c r="X11" s="38" t="str">
        <f t="shared" ref="X11:X42" si="3">IF(ISNUMBER(SEARCH("Kab. ",B11)),RIGHT(B11,LEN(B11)-FIND(" ",B11)),B11)</f>
        <v>Cilacap</v>
      </c>
    </row>
    <row r="12" spans="1:27" ht="12.75" customHeight="1">
      <c r="A12" s="39">
        <v>2</v>
      </c>
      <c r="B12" s="40" t="s">
        <v>23</v>
      </c>
      <c r="C12" s="41">
        <v>0</v>
      </c>
      <c r="D12" s="41">
        <v>0</v>
      </c>
      <c r="E12" s="41">
        <v>0</v>
      </c>
      <c r="F12" s="41">
        <f t="shared" si="0"/>
        <v>0</v>
      </c>
      <c r="G12" s="41">
        <v>0</v>
      </c>
      <c r="H12" s="42">
        <f t="shared" si="1"/>
        <v>0</v>
      </c>
      <c r="I12" s="42">
        <v>0</v>
      </c>
      <c r="J12" s="43">
        <f t="shared" si="2"/>
        <v>0</v>
      </c>
      <c r="L12" s="40" t="str">
        <f ca="1">IFERROR(__xludf.DUMMYFUNCTION("""COMPUTED_VALUE"""),"Kab. Pati")</f>
        <v>Kab. Pati</v>
      </c>
      <c r="M12" s="44">
        <f ca="1">IFERROR(__xludf.DUMMYFUNCTION("""COMPUTED_VALUE"""),7881.33)</f>
        <v>7881.33</v>
      </c>
      <c r="N12" s="40" t="str">
        <f ca="1">IFERROR(__xludf.DUMMYFUNCTION("""COMPUTED_VALUE"""),"Kab. Pati")</f>
        <v>Kab. Pati</v>
      </c>
      <c r="O12" s="44">
        <f ca="1">IFERROR(__xludf.DUMMYFUNCTION("""COMPUTED_VALUE"""),1917.25)</f>
        <v>1917.25</v>
      </c>
      <c r="X12" s="38" t="str">
        <f t="shared" si="3"/>
        <v>Banyumas</v>
      </c>
    </row>
    <row r="13" spans="1:27" ht="12.75" customHeight="1">
      <c r="A13" s="39">
        <v>3</v>
      </c>
      <c r="B13" s="40" t="s">
        <v>24</v>
      </c>
      <c r="C13" s="45">
        <v>0</v>
      </c>
      <c r="D13" s="45">
        <v>0</v>
      </c>
      <c r="E13" s="45">
        <v>0</v>
      </c>
      <c r="F13" s="41">
        <f t="shared" si="0"/>
        <v>0</v>
      </c>
      <c r="G13" s="45">
        <v>0</v>
      </c>
      <c r="H13" s="45">
        <f t="shared" si="1"/>
        <v>0</v>
      </c>
      <c r="I13" s="46">
        <v>0</v>
      </c>
      <c r="J13" s="43">
        <f t="shared" si="2"/>
        <v>0</v>
      </c>
      <c r="L13" s="40" t="str">
        <f ca="1">IFERROR(__xludf.DUMMYFUNCTION("""COMPUTED_VALUE"""),"Kab. Sragen")</f>
        <v>Kab. Sragen</v>
      </c>
      <c r="M13" s="44">
        <f ca="1">IFERROR(__xludf.DUMMYFUNCTION("""COMPUTED_VALUE"""),619.96)</f>
        <v>619.96</v>
      </c>
      <c r="N13" s="40" t="str">
        <f ca="1">IFERROR(__xludf.DUMMYFUNCTION("""COMPUTED_VALUE"""),"Kab. Rembang")</f>
        <v>Kab. Rembang</v>
      </c>
      <c r="O13" s="44">
        <f ca="1">IFERROR(__xludf.DUMMYFUNCTION("""COMPUTED_VALUE"""),119.32)</f>
        <v>119.32</v>
      </c>
      <c r="X13" s="38" t="str">
        <f t="shared" si="3"/>
        <v>Purbalingga</v>
      </c>
    </row>
    <row r="14" spans="1:27" ht="12.75" customHeight="1">
      <c r="A14" s="39">
        <v>4</v>
      </c>
      <c r="B14" s="40" t="s">
        <v>25</v>
      </c>
      <c r="C14" s="41">
        <v>1</v>
      </c>
      <c r="D14" s="41">
        <v>3.48</v>
      </c>
      <c r="E14" s="41">
        <v>3.88</v>
      </c>
      <c r="F14" s="41">
        <f t="shared" si="0"/>
        <v>8.36</v>
      </c>
      <c r="G14" s="41">
        <v>0.26</v>
      </c>
      <c r="H14" s="42">
        <f t="shared" si="1"/>
        <v>74.71264367816093</v>
      </c>
      <c r="I14" s="42">
        <v>145</v>
      </c>
      <c r="J14" s="43">
        <f t="shared" si="2"/>
        <v>5.7655172413793102E-2</v>
      </c>
      <c r="L14" s="40" t="str">
        <f ca="1">IFERROR(__xludf.DUMMYFUNCTION("""COMPUTED_VALUE"""),"Kab. Rembang")</f>
        <v>Kab. Rembang</v>
      </c>
      <c r="M14" s="44">
        <f ca="1">IFERROR(__xludf.DUMMYFUNCTION("""COMPUTED_VALUE"""),543)</f>
        <v>543</v>
      </c>
      <c r="N14" s="40" t="str">
        <f ca="1">IFERROR(__xludf.DUMMYFUNCTION("""COMPUTED_VALUE"""),"Kab. Sragen")</f>
        <v>Kab. Sragen</v>
      </c>
      <c r="O14" s="44">
        <f ca="1">IFERROR(__xludf.DUMMYFUNCTION("""COMPUTED_VALUE"""),79.6)</f>
        <v>79.599999999999994</v>
      </c>
      <c r="X14" s="38" t="str">
        <f t="shared" si="3"/>
        <v>Banjarnegara</v>
      </c>
    </row>
    <row r="15" spans="1:27" ht="12.75" customHeight="1">
      <c r="A15" s="39">
        <v>5</v>
      </c>
      <c r="B15" s="40" t="s">
        <v>26</v>
      </c>
      <c r="C15" s="41">
        <v>11</v>
      </c>
      <c r="D15" s="41">
        <v>34</v>
      </c>
      <c r="E15" s="41">
        <v>0</v>
      </c>
      <c r="F15" s="41">
        <f t="shared" si="0"/>
        <v>45</v>
      </c>
      <c r="G15" s="41">
        <v>21.99</v>
      </c>
      <c r="H15" s="42">
        <f t="shared" si="1"/>
        <v>646.76470588235293</v>
      </c>
      <c r="I15" s="42">
        <v>470</v>
      </c>
      <c r="J15" s="43">
        <f t="shared" si="2"/>
        <v>9.5744680851063829E-2</v>
      </c>
      <c r="L15" s="40" t="str">
        <f ca="1">IFERROR(__xludf.DUMMYFUNCTION("""COMPUTED_VALUE"""),"Kab. Kudus")</f>
        <v>Kab. Kudus</v>
      </c>
      <c r="M15" s="44">
        <f ca="1">IFERROR(__xludf.DUMMYFUNCTION("""COMPUTED_VALUE"""),462.42)</f>
        <v>462.42</v>
      </c>
      <c r="N15" s="40" t="str">
        <f ca="1">IFERROR(__xludf.DUMMYFUNCTION("""COMPUTED_VALUE"""),"Kab. Kendal")</f>
        <v>Kab. Kendal</v>
      </c>
      <c r="O15" s="44">
        <f ca="1">IFERROR(__xludf.DUMMYFUNCTION("""COMPUTED_VALUE"""),70.27)</f>
        <v>70.27</v>
      </c>
      <c r="X15" s="38" t="str">
        <f t="shared" si="3"/>
        <v>Kebumen</v>
      </c>
    </row>
    <row r="16" spans="1:27" ht="12.75" customHeight="1">
      <c r="A16" s="39">
        <v>6</v>
      </c>
      <c r="B16" s="40" t="s">
        <v>27</v>
      </c>
      <c r="C16" s="41">
        <v>0.68</v>
      </c>
      <c r="D16" s="41">
        <v>1.03</v>
      </c>
      <c r="E16" s="41">
        <v>0</v>
      </c>
      <c r="F16" s="41">
        <f t="shared" si="0"/>
        <v>1.71</v>
      </c>
      <c r="G16" s="41">
        <v>0.12</v>
      </c>
      <c r="H16" s="42">
        <f t="shared" si="1"/>
        <v>116.50485436893203</v>
      </c>
      <c r="I16" s="42">
        <v>29</v>
      </c>
      <c r="J16" s="43">
        <f t="shared" si="2"/>
        <v>5.8965517241379307E-2</v>
      </c>
      <c r="L16" s="40" t="str">
        <f ca="1">IFERROR(__xludf.DUMMYFUNCTION("""COMPUTED_VALUE"""),"Kab. Sukoharjo")</f>
        <v>Kab. Sukoharjo</v>
      </c>
      <c r="M16" s="44">
        <f ca="1">IFERROR(__xludf.DUMMYFUNCTION("""COMPUTED_VALUE"""),434.18)</f>
        <v>434.18</v>
      </c>
      <c r="N16" s="40" t="str">
        <f ca="1">IFERROR(__xludf.DUMMYFUNCTION("""COMPUTED_VALUE"""),"Kab. Sukoharjo")</f>
        <v>Kab. Sukoharjo</v>
      </c>
      <c r="O16" s="44">
        <f ca="1">IFERROR(__xludf.DUMMYFUNCTION("""COMPUTED_VALUE"""),70.18)</f>
        <v>70.180000000000007</v>
      </c>
      <c r="X16" s="38" t="str">
        <f t="shared" si="3"/>
        <v>Purworejo</v>
      </c>
    </row>
    <row r="17" spans="1:24" ht="12.75" customHeight="1">
      <c r="A17" s="39">
        <v>7</v>
      </c>
      <c r="B17" s="40" t="s">
        <v>28</v>
      </c>
      <c r="C17" s="41">
        <v>6</v>
      </c>
      <c r="D17" s="41">
        <v>3.1</v>
      </c>
      <c r="E17" s="41">
        <v>11.2</v>
      </c>
      <c r="F17" s="41">
        <f t="shared" si="0"/>
        <v>20.299999999999997</v>
      </c>
      <c r="G17" s="41">
        <v>5.28</v>
      </c>
      <c r="H17" s="42">
        <f t="shared" si="1"/>
        <v>1703.2258064516129</v>
      </c>
      <c r="I17" s="42">
        <v>89</v>
      </c>
      <c r="J17" s="43">
        <f t="shared" si="2"/>
        <v>0.22808988764044941</v>
      </c>
      <c r="L17" s="40" t="str">
        <f ca="1">IFERROR(__xludf.DUMMYFUNCTION("""COMPUTED_VALUE"""),"Kab. Kendal")</f>
        <v>Kab. Kendal</v>
      </c>
      <c r="M17" s="44">
        <f ca="1">IFERROR(__xludf.DUMMYFUNCTION("""COMPUTED_VALUE"""),298.24)</f>
        <v>298.24</v>
      </c>
      <c r="N17" s="40" t="str">
        <f ca="1">IFERROR(__xludf.DUMMYFUNCTION("""COMPUTED_VALUE"""),"Kab. Kudus")</f>
        <v>Kab. Kudus</v>
      </c>
      <c r="O17" s="44">
        <f ca="1">IFERROR(__xludf.DUMMYFUNCTION("""COMPUTED_VALUE"""),58.31)</f>
        <v>58.31</v>
      </c>
      <c r="X17" s="38" t="str">
        <f t="shared" si="3"/>
        <v>Wonosobo</v>
      </c>
    </row>
    <row r="18" spans="1:24" ht="12.75" customHeight="1">
      <c r="A18" s="39">
        <v>8</v>
      </c>
      <c r="B18" s="40" t="s">
        <v>29</v>
      </c>
      <c r="C18" s="41">
        <v>0</v>
      </c>
      <c r="D18" s="41">
        <v>0</v>
      </c>
      <c r="E18" s="41">
        <v>0</v>
      </c>
      <c r="F18" s="41">
        <f t="shared" si="0"/>
        <v>0</v>
      </c>
      <c r="G18" s="41">
        <v>0</v>
      </c>
      <c r="H18" s="42">
        <f t="shared" si="1"/>
        <v>0</v>
      </c>
      <c r="I18" s="42">
        <v>0</v>
      </c>
      <c r="J18" s="43">
        <f t="shared" si="2"/>
        <v>0</v>
      </c>
      <c r="L18" s="40" t="str">
        <f ca="1">IFERROR(__xludf.DUMMYFUNCTION("""COMPUTED_VALUE"""),"Kab. Blora")</f>
        <v>Kab. Blora</v>
      </c>
      <c r="M18" s="44">
        <f ca="1">IFERROR(__xludf.DUMMYFUNCTION("""COMPUTED_VALUE"""),255)</f>
        <v>255</v>
      </c>
      <c r="N18" s="40" t="str">
        <f ca="1">IFERROR(__xludf.DUMMYFUNCTION("""COMPUTED_VALUE"""),"Kab. Klaten")</f>
        <v>Kab. Klaten</v>
      </c>
      <c r="O18" s="44">
        <f ca="1">IFERROR(__xludf.DUMMYFUNCTION("""COMPUTED_VALUE"""),39.16)</f>
        <v>39.159999999999997</v>
      </c>
      <c r="X18" s="38" t="str">
        <f t="shared" si="3"/>
        <v>Magelang</v>
      </c>
    </row>
    <row r="19" spans="1:24" ht="12.75" customHeight="1">
      <c r="A19" s="39">
        <v>9</v>
      </c>
      <c r="B19" s="40" t="s">
        <v>30</v>
      </c>
      <c r="C19" s="41">
        <v>1.2</v>
      </c>
      <c r="D19" s="41">
        <v>9.2799999999999994</v>
      </c>
      <c r="E19" s="41">
        <v>7.27</v>
      </c>
      <c r="F19" s="41">
        <f t="shared" si="0"/>
        <v>17.75</v>
      </c>
      <c r="G19" s="41">
        <v>1.03</v>
      </c>
      <c r="H19" s="42">
        <f t="shared" si="1"/>
        <v>110.99137931034484</v>
      </c>
      <c r="I19" s="42">
        <v>657</v>
      </c>
      <c r="J19" s="43">
        <f t="shared" si="2"/>
        <v>2.7016742770167426E-2</v>
      </c>
      <c r="L19" s="40" t="str">
        <f ca="1">IFERROR(__xludf.DUMMYFUNCTION("""COMPUTED_VALUE"""),"Kab. Grobogan")</f>
        <v>Kab. Grobogan</v>
      </c>
      <c r="M19" s="44">
        <f ca="1">IFERROR(__xludf.DUMMYFUNCTION("""COMPUTED_VALUE"""),225)</f>
        <v>225</v>
      </c>
      <c r="N19" s="40" t="str">
        <f ca="1">IFERROR(__xludf.DUMMYFUNCTION("""COMPUTED_VALUE"""),"Kab. Grobogan")</f>
        <v>Kab. Grobogan</v>
      </c>
      <c r="O19" s="44">
        <f ca="1">IFERROR(__xludf.DUMMYFUNCTION("""COMPUTED_VALUE"""),37.36)</f>
        <v>37.36</v>
      </c>
      <c r="X19" s="38" t="str">
        <f t="shared" si="3"/>
        <v>Boyolali</v>
      </c>
    </row>
    <row r="20" spans="1:24" ht="12.75" customHeight="1">
      <c r="A20" s="39">
        <v>10</v>
      </c>
      <c r="B20" s="40" t="s">
        <v>31</v>
      </c>
      <c r="C20" s="41">
        <v>0</v>
      </c>
      <c r="D20" s="41">
        <v>155.34</v>
      </c>
      <c r="E20" s="41">
        <v>44.48</v>
      </c>
      <c r="F20" s="41">
        <f t="shared" si="0"/>
        <v>199.82</v>
      </c>
      <c r="G20" s="41">
        <v>39.159999999999997</v>
      </c>
      <c r="H20" s="42">
        <f t="shared" si="1"/>
        <v>252.09218488476887</v>
      </c>
      <c r="I20" s="42">
        <v>1511</v>
      </c>
      <c r="J20" s="43">
        <f t="shared" si="2"/>
        <v>0.13224354731965585</v>
      </c>
      <c r="L20" s="40" t="str">
        <f ca="1">IFERROR(__xludf.DUMMYFUNCTION("""COMPUTED_VALUE"""),"Kab. Klaten")</f>
        <v>Kab. Klaten</v>
      </c>
      <c r="M20" s="44">
        <f ca="1">IFERROR(__xludf.DUMMYFUNCTION("""COMPUTED_VALUE"""),199.82)</f>
        <v>199.82</v>
      </c>
      <c r="N20" s="40" t="str">
        <f ca="1">IFERROR(__xludf.DUMMYFUNCTION("""COMPUTED_VALUE"""),"Kab. Batang")</f>
        <v>Kab. Batang</v>
      </c>
      <c r="O20" s="44">
        <f ca="1">IFERROR(__xludf.DUMMYFUNCTION("""COMPUTED_VALUE"""),24.99)</f>
        <v>24.99</v>
      </c>
      <c r="X20" s="38" t="str">
        <f t="shared" si="3"/>
        <v>Klaten</v>
      </c>
    </row>
    <row r="21" spans="1:24" ht="12.75" customHeight="1">
      <c r="A21" s="39">
        <v>11</v>
      </c>
      <c r="B21" s="40" t="s">
        <v>32</v>
      </c>
      <c r="C21" s="41">
        <v>4.53</v>
      </c>
      <c r="D21" s="41">
        <v>423.23</v>
      </c>
      <c r="E21" s="41">
        <v>6.42</v>
      </c>
      <c r="F21" s="41">
        <f t="shared" si="0"/>
        <v>434.18</v>
      </c>
      <c r="G21" s="41">
        <v>70.180000000000007</v>
      </c>
      <c r="H21" s="42">
        <f t="shared" si="1"/>
        <v>165.82000330789407</v>
      </c>
      <c r="I21" s="42">
        <v>2000</v>
      </c>
      <c r="J21" s="43">
        <f t="shared" si="2"/>
        <v>0.21709000000000001</v>
      </c>
      <c r="L21" s="40" t="str">
        <f ca="1">IFERROR(__xludf.DUMMYFUNCTION("""COMPUTED_VALUE"""),"Kab. Semarang")</f>
        <v>Kab. Semarang</v>
      </c>
      <c r="M21" s="44">
        <f ca="1">IFERROR(__xludf.DUMMYFUNCTION("""COMPUTED_VALUE"""),120.8)</f>
        <v>120.8</v>
      </c>
      <c r="N21" s="40" t="str">
        <f ca="1">IFERROR(__xludf.DUMMYFUNCTION("""COMPUTED_VALUE"""),"Kab. Semarang")</f>
        <v>Kab. Semarang</v>
      </c>
      <c r="O21" s="44">
        <f ca="1">IFERROR(__xludf.DUMMYFUNCTION("""COMPUTED_VALUE"""),23.42)</f>
        <v>23.42</v>
      </c>
      <c r="X21" s="38" t="str">
        <f t="shared" si="3"/>
        <v>Sukoharjo</v>
      </c>
    </row>
    <row r="22" spans="1:24" ht="12.75" customHeight="1">
      <c r="A22" s="39">
        <v>12</v>
      </c>
      <c r="B22" s="40" t="s">
        <v>33</v>
      </c>
      <c r="C22" s="45">
        <v>0</v>
      </c>
      <c r="D22" s="45">
        <v>44</v>
      </c>
      <c r="E22" s="41">
        <v>5</v>
      </c>
      <c r="F22" s="41">
        <f t="shared" si="0"/>
        <v>49</v>
      </c>
      <c r="G22" s="45">
        <v>5.22</v>
      </c>
      <c r="H22" s="42">
        <f t="shared" si="1"/>
        <v>118.63636363636364</v>
      </c>
      <c r="I22" s="46">
        <v>574</v>
      </c>
      <c r="J22" s="43">
        <f t="shared" si="2"/>
        <v>8.5365853658536592E-2</v>
      </c>
      <c r="L22" s="40" t="str">
        <f ca="1">IFERROR(__xludf.DUMMYFUNCTION("""COMPUTED_VALUE"""),"Kab. Batang")</f>
        <v>Kab. Batang</v>
      </c>
      <c r="M22" s="44">
        <f ca="1">IFERROR(__xludf.DUMMYFUNCTION("""COMPUTED_VALUE"""),102.81)</f>
        <v>102.81</v>
      </c>
      <c r="N22" s="40" t="str">
        <f ca="1">IFERROR(__xludf.DUMMYFUNCTION("""COMPUTED_VALUE"""),"Kab. Kebumen")</f>
        <v>Kab. Kebumen</v>
      </c>
      <c r="O22" s="44">
        <f ca="1">IFERROR(__xludf.DUMMYFUNCTION("""COMPUTED_VALUE"""),21.99)</f>
        <v>21.99</v>
      </c>
      <c r="X22" s="38" t="str">
        <f t="shared" si="3"/>
        <v>Wonogiri</v>
      </c>
    </row>
    <row r="23" spans="1:24" ht="12.75" customHeight="1">
      <c r="A23" s="39">
        <v>13</v>
      </c>
      <c r="B23" s="40" t="s">
        <v>34</v>
      </c>
      <c r="C23" s="41">
        <v>0.53</v>
      </c>
      <c r="D23" s="41">
        <v>0.39</v>
      </c>
      <c r="E23" s="41">
        <v>0.09</v>
      </c>
      <c r="F23" s="41">
        <f t="shared" si="0"/>
        <v>1.01</v>
      </c>
      <c r="G23" s="41">
        <v>0</v>
      </c>
      <c r="H23" s="42">
        <f t="shared" si="1"/>
        <v>0</v>
      </c>
      <c r="I23" s="42">
        <v>34</v>
      </c>
      <c r="J23" s="43">
        <f t="shared" si="2"/>
        <v>2.9705882352941176E-2</v>
      </c>
      <c r="L23" s="40" t="str">
        <f ca="1">IFERROR(__xludf.DUMMYFUNCTION("""COMPUTED_VALUE"""),"Kab. Wonogiri")</f>
        <v>Kab. Wonogiri</v>
      </c>
      <c r="M23" s="44">
        <f ca="1">IFERROR(__xludf.DUMMYFUNCTION("""COMPUTED_VALUE"""),49)</f>
        <v>49</v>
      </c>
      <c r="N23" s="40" t="str">
        <f ca="1">IFERROR(__xludf.DUMMYFUNCTION("""COMPUTED_VALUE"""),"Kab. Blora")</f>
        <v>Kab. Blora</v>
      </c>
      <c r="O23" s="44">
        <f ca="1">IFERROR(__xludf.DUMMYFUNCTION("""COMPUTED_VALUE"""),16.41)</f>
        <v>16.41</v>
      </c>
      <c r="X23" s="38" t="str">
        <f t="shared" si="3"/>
        <v>Karanganyar</v>
      </c>
    </row>
    <row r="24" spans="1:24" ht="12.75" customHeight="1">
      <c r="A24" s="39">
        <v>14</v>
      </c>
      <c r="B24" s="40" t="s">
        <v>35</v>
      </c>
      <c r="C24" s="41">
        <v>0</v>
      </c>
      <c r="D24" s="41">
        <v>592.86</v>
      </c>
      <c r="E24" s="41">
        <v>27.1</v>
      </c>
      <c r="F24" s="41">
        <f t="shared" si="0"/>
        <v>619.96</v>
      </c>
      <c r="G24" s="41">
        <v>79.599999999999994</v>
      </c>
      <c r="H24" s="42">
        <f t="shared" si="1"/>
        <v>134.26441318355091</v>
      </c>
      <c r="I24" s="42">
        <v>3962</v>
      </c>
      <c r="J24" s="43">
        <f t="shared" si="2"/>
        <v>0.15647652700656234</v>
      </c>
      <c r="L24" s="40" t="str">
        <f ca="1">IFERROR(__xludf.DUMMYFUNCTION("""COMPUTED_VALUE"""),"Kab. Kebumen")</f>
        <v>Kab. Kebumen</v>
      </c>
      <c r="M24" s="44">
        <f ca="1">IFERROR(__xludf.DUMMYFUNCTION("""COMPUTED_VALUE"""),45)</f>
        <v>45</v>
      </c>
      <c r="N24" s="40" t="str">
        <f ca="1">IFERROR(__xludf.DUMMYFUNCTION("""COMPUTED_VALUE"""),"Kab. Wonosobo")</f>
        <v>Kab. Wonosobo</v>
      </c>
      <c r="O24" s="44">
        <f ca="1">IFERROR(__xludf.DUMMYFUNCTION("""COMPUTED_VALUE"""),5.28)</f>
        <v>5.28</v>
      </c>
      <c r="X24" s="38" t="str">
        <f t="shared" si="3"/>
        <v>Sragen</v>
      </c>
    </row>
    <row r="25" spans="1:24" ht="12.75" customHeight="1">
      <c r="A25" s="39">
        <v>15</v>
      </c>
      <c r="B25" s="40" t="s">
        <v>36</v>
      </c>
      <c r="C25" s="41">
        <v>65</v>
      </c>
      <c r="D25" s="41">
        <v>157.69999999999999</v>
      </c>
      <c r="E25" s="41">
        <v>2.2999999999999998</v>
      </c>
      <c r="F25" s="41">
        <f t="shared" si="0"/>
        <v>225</v>
      </c>
      <c r="G25" s="41">
        <v>37.36</v>
      </c>
      <c r="H25" s="42">
        <f t="shared" si="1"/>
        <v>236.90551680405835</v>
      </c>
      <c r="I25" s="42">
        <v>1610</v>
      </c>
      <c r="J25" s="43">
        <f t="shared" si="2"/>
        <v>0.13975155279503104</v>
      </c>
      <c r="L25" s="40" t="str">
        <f ca="1">IFERROR(__xludf.DUMMYFUNCTION("""COMPUTED_VALUE"""),"Kab. Wonosobo")</f>
        <v>Kab. Wonosobo</v>
      </c>
      <c r="M25" s="44">
        <f ca="1">IFERROR(__xludf.DUMMYFUNCTION("""COMPUTED_VALUE"""),20.2999999999999)</f>
        <v>20.299999999999901</v>
      </c>
      <c r="N25" s="40" t="str">
        <f ca="1">IFERROR(__xludf.DUMMYFUNCTION("""COMPUTED_VALUE"""),"Kab. Wonogiri")</f>
        <v>Kab. Wonogiri</v>
      </c>
      <c r="O25" s="44">
        <f ca="1">IFERROR(__xludf.DUMMYFUNCTION("""COMPUTED_VALUE"""),5.22)</f>
        <v>5.22</v>
      </c>
      <c r="X25" s="38" t="str">
        <f t="shared" si="3"/>
        <v>Grobogan</v>
      </c>
    </row>
    <row r="26" spans="1:24" ht="12.75" customHeight="1">
      <c r="A26" s="39">
        <v>16</v>
      </c>
      <c r="B26" s="40" t="s">
        <v>37</v>
      </c>
      <c r="C26" s="41">
        <v>21.85</v>
      </c>
      <c r="D26" s="41">
        <v>163.86</v>
      </c>
      <c r="E26" s="41">
        <v>69.290000000000006</v>
      </c>
      <c r="F26" s="41">
        <f t="shared" si="0"/>
        <v>255</v>
      </c>
      <c r="G26" s="41">
        <v>16.41</v>
      </c>
      <c r="H26" s="42">
        <f t="shared" si="1"/>
        <v>100.14646649578908</v>
      </c>
      <c r="I26" s="42">
        <v>2871</v>
      </c>
      <c r="J26" s="43">
        <f t="shared" si="2"/>
        <v>8.8819226750261229E-2</v>
      </c>
      <c r="L26" s="40" t="str">
        <f ca="1">IFERROR(__xludf.DUMMYFUNCTION("""COMPUTED_VALUE"""),"Kab. Boyolali")</f>
        <v>Kab. Boyolali</v>
      </c>
      <c r="M26" s="44">
        <f ca="1">IFERROR(__xludf.DUMMYFUNCTION("""COMPUTED_VALUE"""),17.75)</f>
        <v>17.75</v>
      </c>
      <c r="N26" s="40" t="str">
        <f ca="1">IFERROR(__xludf.DUMMYFUNCTION("""COMPUTED_VALUE"""),"Kab. Pekalongan")</f>
        <v>Kab. Pekalongan</v>
      </c>
      <c r="O26" s="44">
        <f ca="1">IFERROR(__xludf.DUMMYFUNCTION("""COMPUTED_VALUE"""),4.62)</f>
        <v>4.62</v>
      </c>
      <c r="X26" s="38" t="str">
        <f t="shared" si="3"/>
        <v>Blora</v>
      </c>
    </row>
    <row r="27" spans="1:24" ht="12.75" customHeight="1">
      <c r="A27" s="39">
        <v>17</v>
      </c>
      <c r="B27" s="40" t="s">
        <v>38</v>
      </c>
      <c r="C27" s="41">
        <v>46</v>
      </c>
      <c r="D27" s="41">
        <v>410</v>
      </c>
      <c r="E27" s="41">
        <v>87</v>
      </c>
      <c r="F27" s="41">
        <f t="shared" si="0"/>
        <v>543</v>
      </c>
      <c r="G27" s="41">
        <v>119.32</v>
      </c>
      <c r="H27" s="42">
        <f t="shared" si="1"/>
        <v>291.02439024390242</v>
      </c>
      <c r="I27" s="42">
        <v>5489</v>
      </c>
      <c r="J27" s="43">
        <f t="shared" si="2"/>
        <v>9.8925122973219162E-2</v>
      </c>
      <c r="L27" s="40" t="str">
        <f ca="1">IFERROR(__xludf.DUMMYFUNCTION("""COMPUTED_VALUE"""),"Kab. Pekalongan")</f>
        <v>Kab. Pekalongan</v>
      </c>
      <c r="M27" s="44">
        <f ca="1">IFERROR(__xludf.DUMMYFUNCTION("""COMPUTED_VALUE"""),14.93)</f>
        <v>14.93</v>
      </c>
      <c r="N27" s="40" t="str">
        <f ca="1">IFERROR(__xludf.DUMMYFUNCTION("""COMPUTED_VALUE"""),"Kab. Boyolali")</f>
        <v>Kab. Boyolali</v>
      </c>
      <c r="O27" s="44">
        <f ca="1">IFERROR(__xludf.DUMMYFUNCTION("""COMPUTED_VALUE"""),1.03)</f>
        <v>1.03</v>
      </c>
      <c r="X27" s="38" t="str">
        <f t="shared" si="3"/>
        <v>Rembang</v>
      </c>
    </row>
    <row r="28" spans="1:24" ht="12.75" customHeight="1">
      <c r="A28" s="39">
        <v>18</v>
      </c>
      <c r="B28" s="47" t="s">
        <v>39</v>
      </c>
      <c r="C28" s="41">
        <v>119.76</v>
      </c>
      <c r="D28" s="41">
        <v>7493.25</v>
      </c>
      <c r="E28" s="41">
        <v>268.32</v>
      </c>
      <c r="F28" s="41">
        <f t="shared" si="0"/>
        <v>7881.33</v>
      </c>
      <c r="G28" s="41">
        <v>1917.25</v>
      </c>
      <c r="H28" s="42">
        <f t="shared" si="1"/>
        <v>255.86361058285789</v>
      </c>
      <c r="I28" s="42">
        <v>12186</v>
      </c>
      <c r="J28" s="43">
        <f t="shared" si="2"/>
        <v>0.64675283111767601</v>
      </c>
      <c r="L28" s="40" t="str">
        <f ca="1">IFERROR(__xludf.DUMMYFUNCTION("""COMPUTED_VALUE"""),"Kab. Banjarnegara")</f>
        <v>Kab. Banjarnegara</v>
      </c>
      <c r="M28" s="44">
        <f ca="1">IFERROR(__xludf.DUMMYFUNCTION("""COMPUTED_VALUE"""),8.36)</f>
        <v>8.36</v>
      </c>
      <c r="N28" s="40" t="str">
        <f ca="1">IFERROR(__xludf.DUMMYFUNCTION("""COMPUTED_VALUE"""),"Kab. Tegal")</f>
        <v>Kab. Tegal</v>
      </c>
      <c r="O28" s="44">
        <f ca="1">IFERROR(__xludf.DUMMYFUNCTION("""COMPUTED_VALUE"""),1.03)</f>
        <v>1.03</v>
      </c>
      <c r="X28" s="38" t="str">
        <f t="shared" si="3"/>
        <v>Pati</v>
      </c>
    </row>
    <row r="29" spans="1:24" ht="12.75" customHeight="1">
      <c r="A29" s="39">
        <v>19</v>
      </c>
      <c r="B29" s="47" t="s">
        <v>40</v>
      </c>
      <c r="C29" s="41">
        <v>15.61</v>
      </c>
      <c r="D29" s="41">
        <v>404.55</v>
      </c>
      <c r="E29" s="41">
        <v>42.26</v>
      </c>
      <c r="F29" s="41">
        <f t="shared" si="0"/>
        <v>462.42</v>
      </c>
      <c r="G29" s="41">
        <v>58.31</v>
      </c>
      <c r="H29" s="42">
        <f t="shared" si="1"/>
        <v>144.13545915214434</v>
      </c>
      <c r="I29" s="42">
        <v>2108</v>
      </c>
      <c r="J29" s="43">
        <f t="shared" si="2"/>
        <v>0.21936432637571157</v>
      </c>
      <c r="L29" s="40" t="str">
        <f ca="1">IFERROR(__xludf.DUMMYFUNCTION("""COMPUTED_VALUE"""),"Kab. Temanggung")</f>
        <v>Kab. Temanggung</v>
      </c>
      <c r="M29" s="44">
        <f ca="1">IFERROR(__xludf.DUMMYFUNCTION("""COMPUTED_VALUE"""),7.01)</f>
        <v>7.01</v>
      </c>
      <c r="N29" s="40" t="str">
        <f ca="1">IFERROR(__xludf.DUMMYFUNCTION("""COMPUTED_VALUE"""),"Kab. Temanggung")</f>
        <v>Kab. Temanggung</v>
      </c>
      <c r="O29" s="44">
        <f ca="1">IFERROR(__xludf.DUMMYFUNCTION("""COMPUTED_VALUE"""),0.95)</f>
        <v>0.95</v>
      </c>
      <c r="X29" s="38" t="str">
        <f t="shared" si="3"/>
        <v>Kudus</v>
      </c>
    </row>
    <row r="30" spans="1:24" ht="12.75" customHeight="1">
      <c r="A30" s="39">
        <v>20</v>
      </c>
      <c r="B30" s="47" t="s">
        <v>41</v>
      </c>
      <c r="C30" s="41">
        <v>375.83</v>
      </c>
      <c r="D30" s="41">
        <v>9132.0300000000007</v>
      </c>
      <c r="E30" s="41">
        <v>997.47</v>
      </c>
      <c r="F30" s="41">
        <f t="shared" si="0"/>
        <v>10505.33</v>
      </c>
      <c r="G30" s="41">
        <v>2152.31</v>
      </c>
      <c r="H30" s="42">
        <f t="shared" si="1"/>
        <v>235.68801241345022</v>
      </c>
      <c r="I30" s="42">
        <v>27699</v>
      </c>
      <c r="J30" s="43">
        <f t="shared" si="2"/>
        <v>0.37926748258059856</v>
      </c>
      <c r="L30" s="40" t="str">
        <f ca="1">IFERROR(__xludf.DUMMYFUNCTION("""COMPUTED_VALUE"""),"Kab. Tegal")</f>
        <v>Kab. Tegal</v>
      </c>
      <c r="M30" s="44">
        <f ca="1">IFERROR(__xludf.DUMMYFUNCTION("""COMPUTED_VALUE"""),6.05)</f>
        <v>6.05</v>
      </c>
      <c r="N30" s="40" t="str">
        <f ca="1">IFERROR(__xludf.DUMMYFUNCTION("""COMPUTED_VALUE"""),"Kab. Banjarnegara")</f>
        <v>Kab. Banjarnegara</v>
      </c>
      <c r="O30" s="44">
        <f ca="1">IFERROR(__xludf.DUMMYFUNCTION("""COMPUTED_VALUE"""),0.26)</f>
        <v>0.26</v>
      </c>
      <c r="X30" s="38" t="str">
        <f t="shared" si="3"/>
        <v>Jepara</v>
      </c>
    </row>
    <row r="31" spans="1:24" ht="12.75" customHeight="1">
      <c r="A31" s="39">
        <v>21</v>
      </c>
      <c r="B31" s="47" t="s">
        <v>42</v>
      </c>
      <c r="C31" s="45">
        <v>0</v>
      </c>
      <c r="D31" s="45">
        <v>0</v>
      </c>
      <c r="E31" s="45">
        <v>0</v>
      </c>
      <c r="F31" s="41">
        <f t="shared" si="0"/>
        <v>0</v>
      </c>
      <c r="G31" s="45">
        <v>0</v>
      </c>
      <c r="H31" s="42">
        <f t="shared" si="1"/>
        <v>0</v>
      </c>
      <c r="I31" s="46">
        <v>0</v>
      </c>
      <c r="J31" s="43">
        <f t="shared" si="2"/>
        <v>0</v>
      </c>
      <c r="L31" s="40" t="str">
        <f ca="1">IFERROR(__xludf.DUMMYFUNCTION("""COMPUTED_VALUE"""),"Kab. Purworejo")</f>
        <v>Kab. Purworejo</v>
      </c>
      <c r="M31" s="44">
        <f ca="1">IFERROR(__xludf.DUMMYFUNCTION("""COMPUTED_VALUE"""),1.71)</f>
        <v>1.71</v>
      </c>
      <c r="N31" s="40" t="str">
        <f ca="1">IFERROR(__xludf.DUMMYFUNCTION("""COMPUTED_VALUE"""),"Kab. Purworejo")</f>
        <v>Kab. Purworejo</v>
      </c>
      <c r="O31" s="44">
        <f ca="1">IFERROR(__xludf.DUMMYFUNCTION("""COMPUTED_VALUE"""),0.12)</f>
        <v>0.12</v>
      </c>
      <c r="X31" s="38" t="str">
        <f t="shared" si="3"/>
        <v>Demak</v>
      </c>
    </row>
    <row r="32" spans="1:24" ht="12.75" customHeight="1">
      <c r="A32" s="39">
        <v>22</v>
      </c>
      <c r="B32" s="47" t="s">
        <v>43</v>
      </c>
      <c r="C32" s="41">
        <v>4</v>
      </c>
      <c r="D32" s="41">
        <v>107.05</v>
      </c>
      <c r="E32" s="41">
        <v>9.75</v>
      </c>
      <c r="F32" s="41">
        <f t="shared" si="0"/>
        <v>120.8</v>
      </c>
      <c r="G32" s="41">
        <v>23.42</v>
      </c>
      <c r="H32" s="42">
        <f t="shared" si="1"/>
        <v>218.77627276973379</v>
      </c>
      <c r="I32" s="42">
        <v>923</v>
      </c>
      <c r="J32" s="43">
        <f t="shared" si="2"/>
        <v>0.13087757313109424</v>
      </c>
      <c r="L32" s="40" t="str">
        <f ca="1">IFERROR(__xludf.DUMMYFUNCTION("""COMPUTED_VALUE"""),"Kab. Karanganyar")</f>
        <v>Kab. Karanganyar</v>
      </c>
      <c r="M32" s="44">
        <f ca="1">IFERROR(__xludf.DUMMYFUNCTION("""COMPUTED_VALUE"""),1.01)</f>
        <v>1.01</v>
      </c>
      <c r="N32" s="40"/>
      <c r="O32" s="44"/>
      <c r="X32" s="38" t="str">
        <f t="shared" si="3"/>
        <v>Semarang</v>
      </c>
    </row>
    <row r="33" spans="1:24" ht="12.75" customHeight="1">
      <c r="A33" s="39">
        <v>23</v>
      </c>
      <c r="B33" s="47" t="s">
        <v>44</v>
      </c>
      <c r="C33" s="41">
        <v>0.5</v>
      </c>
      <c r="D33" s="41">
        <v>4.5</v>
      </c>
      <c r="E33" s="41">
        <v>2.0099999999999998</v>
      </c>
      <c r="F33" s="41">
        <f t="shared" si="0"/>
        <v>7.01</v>
      </c>
      <c r="G33" s="41">
        <v>0.95</v>
      </c>
      <c r="H33" s="42">
        <f t="shared" si="1"/>
        <v>211.11111111111111</v>
      </c>
      <c r="I33" s="42">
        <v>37</v>
      </c>
      <c r="J33" s="43">
        <f t="shared" si="2"/>
        <v>0.18945945945945947</v>
      </c>
      <c r="L33" s="40"/>
      <c r="M33" s="44"/>
      <c r="N33" s="40"/>
      <c r="O33" s="44"/>
      <c r="X33" s="38" t="str">
        <f t="shared" si="3"/>
        <v>Temanggung</v>
      </c>
    </row>
    <row r="34" spans="1:24" ht="12.75" customHeight="1">
      <c r="A34" s="39">
        <v>24</v>
      </c>
      <c r="B34" s="47" t="s">
        <v>45</v>
      </c>
      <c r="C34" s="41">
        <v>8.8800000000000008</v>
      </c>
      <c r="D34" s="41">
        <v>208.93</v>
      </c>
      <c r="E34" s="41">
        <v>80.430000000000007</v>
      </c>
      <c r="F34" s="41">
        <f t="shared" si="0"/>
        <v>298.24</v>
      </c>
      <c r="G34" s="41">
        <v>70.27</v>
      </c>
      <c r="H34" s="42">
        <f t="shared" si="1"/>
        <v>336.33274302397933</v>
      </c>
      <c r="I34" s="42">
        <v>1730</v>
      </c>
      <c r="J34" s="43">
        <f t="shared" si="2"/>
        <v>0.17239306358381504</v>
      </c>
      <c r="L34" s="40"/>
      <c r="M34" s="44"/>
      <c r="N34" s="40"/>
      <c r="O34" s="44"/>
      <c r="X34" s="38" t="str">
        <f t="shared" si="3"/>
        <v>Kendal</v>
      </c>
    </row>
    <row r="35" spans="1:24" ht="12.75" customHeight="1">
      <c r="A35" s="39">
        <v>25</v>
      </c>
      <c r="B35" s="47" t="s">
        <v>46</v>
      </c>
      <c r="C35" s="45">
        <v>0</v>
      </c>
      <c r="D35" s="41">
        <v>94.97</v>
      </c>
      <c r="E35" s="41">
        <v>7.84</v>
      </c>
      <c r="F35" s="41">
        <f t="shared" si="0"/>
        <v>102.81</v>
      </c>
      <c r="G35" s="41">
        <v>24.99</v>
      </c>
      <c r="H35" s="42">
        <f t="shared" si="1"/>
        <v>263.13572707170687</v>
      </c>
      <c r="I35" s="42">
        <v>911</v>
      </c>
      <c r="J35" s="43">
        <f t="shared" si="2"/>
        <v>0.11285400658616905</v>
      </c>
      <c r="L35" s="40"/>
      <c r="M35" s="44"/>
      <c r="N35" s="40"/>
      <c r="O35" s="44"/>
      <c r="X35" s="38" t="str">
        <f t="shared" si="3"/>
        <v>Batang</v>
      </c>
    </row>
    <row r="36" spans="1:24" ht="12.75" customHeight="1">
      <c r="A36" s="39">
        <v>26</v>
      </c>
      <c r="B36" s="47" t="s">
        <v>47</v>
      </c>
      <c r="C36" s="41">
        <v>0</v>
      </c>
      <c r="D36" s="41">
        <v>14.43</v>
      </c>
      <c r="E36" s="41">
        <v>0.5</v>
      </c>
      <c r="F36" s="41">
        <f t="shared" si="0"/>
        <v>14.93</v>
      </c>
      <c r="G36" s="41">
        <v>4.62</v>
      </c>
      <c r="H36" s="42">
        <f t="shared" si="1"/>
        <v>320.16632016632019</v>
      </c>
      <c r="I36" s="42">
        <v>292</v>
      </c>
      <c r="J36" s="43">
        <f t="shared" si="2"/>
        <v>5.1130136986301367E-2</v>
      </c>
      <c r="L36" s="40"/>
      <c r="M36" s="44"/>
      <c r="N36" s="40"/>
      <c r="O36" s="44"/>
      <c r="X36" s="38" t="str">
        <f t="shared" si="3"/>
        <v>Pekalongan</v>
      </c>
    </row>
    <row r="37" spans="1:24" ht="12.75" customHeight="1">
      <c r="A37" s="39">
        <v>27</v>
      </c>
      <c r="B37" s="47" t="s">
        <v>48</v>
      </c>
      <c r="C37" s="41">
        <v>0</v>
      </c>
      <c r="D37" s="41">
        <v>0</v>
      </c>
      <c r="E37" s="41">
        <v>0</v>
      </c>
      <c r="F37" s="41">
        <f t="shared" si="0"/>
        <v>0</v>
      </c>
      <c r="G37" s="41">
        <v>0</v>
      </c>
      <c r="H37" s="42">
        <f t="shared" si="1"/>
        <v>0</v>
      </c>
      <c r="I37" s="42">
        <v>0</v>
      </c>
      <c r="J37" s="43">
        <f t="shared" si="2"/>
        <v>0</v>
      </c>
      <c r="L37" s="40"/>
      <c r="M37" s="44"/>
      <c r="N37" s="40"/>
      <c r="O37" s="44"/>
      <c r="X37" s="38" t="str">
        <f t="shared" si="3"/>
        <v>Pemalang</v>
      </c>
    </row>
    <row r="38" spans="1:24" ht="12.75" customHeight="1">
      <c r="A38" s="39">
        <v>28</v>
      </c>
      <c r="B38" s="47" t="s">
        <v>49</v>
      </c>
      <c r="C38" s="41">
        <v>0</v>
      </c>
      <c r="D38" s="41">
        <v>4.3</v>
      </c>
      <c r="E38" s="41">
        <v>1.75</v>
      </c>
      <c r="F38" s="41">
        <f t="shared" si="0"/>
        <v>6.05</v>
      </c>
      <c r="G38" s="41">
        <v>1.03</v>
      </c>
      <c r="H38" s="42">
        <f t="shared" si="1"/>
        <v>239.53488372093022</v>
      </c>
      <c r="I38" s="42">
        <v>206</v>
      </c>
      <c r="J38" s="43">
        <f t="shared" si="2"/>
        <v>2.936893203883495E-2</v>
      </c>
      <c r="L38" s="40"/>
      <c r="M38" s="44"/>
      <c r="N38" s="40"/>
      <c r="O38" s="44"/>
      <c r="X38" s="38" t="str">
        <f t="shared" si="3"/>
        <v>Tegal</v>
      </c>
    </row>
    <row r="39" spans="1:24" ht="12.75" customHeight="1">
      <c r="A39" s="39">
        <v>29</v>
      </c>
      <c r="B39" s="47" t="s">
        <v>50</v>
      </c>
      <c r="C39" s="41">
        <v>0</v>
      </c>
      <c r="D39" s="41">
        <v>0</v>
      </c>
      <c r="E39" s="41">
        <v>0</v>
      </c>
      <c r="F39" s="41">
        <f t="shared" si="0"/>
        <v>0</v>
      </c>
      <c r="G39" s="41">
        <v>0</v>
      </c>
      <c r="H39" s="42">
        <f t="shared" si="1"/>
        <v>0</v>
      </c>
      <c r="I39" s="42">
        <v>0</v>
      </c>
      <c r="J39" s="43">
        <f t="shared" si="2"/>
        <v>0</v>
      </c>
      <c r="L39" s="40"/>
      <c r="M39" s="44"/>
      <c r="N39" s="40"/>
      <c r="O39" s="44"/>
      <c r="X39" s="38" t="str">
        <f t="shared" si="3"/>
        <v>Brebes</v>
      </c>
    </row>
    <row r="40" spans="1:24" ht="12.75" customHeight="1">
      <c r="A40" s="39">
        <v>30</v>
      </c>
      <c r="B40" s="47" t="s">
        <v>51</v>
      </c>
      <c r="C40" s="41">
        <v>0</v>
      </c>
      <c r="D40" s="41">
        <v>0</v>
      </c>
      <c r="E40" s="41">
        <v>0</v>
      </c>
      <c r="F40" s="41">
        <f t="shared" si="0"/>
        <v>0</v>
      </c>
      <c r="G40" s="41">
        <v>0</v>
      </c>
      <c r="H40" s="42">
        <f t="shared" si="1"/>
        <v>0</v>
      </c>
      <c r="I40" s="42">
        <v>0</v>
      </c>
      <c r="J40" s="43">
        <f t="shared" si="2"/>
        <v>0</v>
      </c>
      <c r="L40" s="40"/>
      <c r="M40" s="44"/>
      <c r="N40" s="40"/>
      <c r="O40" s="44"/>
      <c r="X40" s="38" t="str">
        <f t="shared" si="3"/>
        <v>Kota Surakarta</v>
      </c>
    </row>
    <row r="41" spans="1:24" ht="12.75" customHeight="1">
      <c r="A41" s="39">
        <v>31</v>
      </c>
      <c r="B41" s="47" t="s">
        <v>52</v>
      </c>
      <c r="C41" s="41">
        <v>0</v>
      </c>
      <c r="D41" s="41">
        <v>0</v>
      </c>
      <c r="E41" s="41">
        <v>0</v>
      </c>
      <c r="F41" s="41">
        <f t="shared" si="0"/>
        <v>0</v>
      </c>
      <c r="G41" s="41">
        <v>0</v>
      </c>
      <c r="H41" s="42">
        <f t="shared" si="1"/>
        <v>0</v>
      </c>
      <c r="I41" s="42">
        <v>0</v>
      </c>
      <c r="J41" s="43">
        <f t="shared" si="2"/>
        <v>0</v>
      </c>
      <c r="L41" s="40"/>
      <c r="M41" s="44"/>
      <c r="N41" s="40"/>
      <c r="O41" s="44"/>
      <c r="X41" s="38" t="str">
        <f t="shared" si="3"/>
        <v>Kota Salatiga</v>
      </c>
    </row>
    <row r="42" spans="1:24" ht="12.75" customHeight="1">
      <c r="A42" s="48">
        <v>32</v>
      </c>
      <c r="B42" s="49" t="s">
        <v>53</v>
      </c>
      <c r="C42" s="50">
        <v>0</v>
      </c>
      <c r="D42" s="50">
        <v>0</v>
      </c>
      <c r="E42" s="50">
        <v>0</v>
      </c>
      <c r="F42" s="51">
        <f t="shared" si="0"/>
        <v>0</v>
      </c>
      <c r="G42" s="50">
        <v>0</v>
      </c>
      <c r="H42" s="52">
        <f t="shared" si="1"/>
        <v>0</v>
      </c>
      <c r="I42" s="52">
        <v>0</v>
      </c>
      <c r="J42" s="53">
        <f t="shared" si="2"/>
        <v>0</v>
      </c>
      <c r="L42" s="54"/>
      <c r="M42" s="44"/>
      <c r="N42" s="54"/>
      <c r="O42" s="44"/>
      <c r="X42" s="38" t="str">
        <f t="shared" si="3"/>
        <v>Kota Semarang</v>
      </c>
    </row>
    <row r="43" spans="1:24" ht="12.75" customHeight="1">
      <c r="A43" s="55" t="s">
        <v>54</v>
      </c>
      <c r="B43" s="56"/>
      <c r="C43" s="57">
        <f t="shared" ref="C43:E43" si="4">SUM(C$11:C$42)</f>
        <v>682.37</v>
      </c>
      <c r="D43" s="58">
        <f t="shared" si="4"/>
        <v>19462.28</v>
      </c>
      <c r="E43" s="58">
        <f t="shared" si="4"/>
        <v>1674.36</v>
      </c>
      <c r="F43" s="59">
        <f>C43+D43+E43</f>
        <v>21819.01</v>
      </c>
      <c r="G43" s="58">
        <f>SUM(G$11:G$42)</f>
        <v>4649.079999999999</v>
      </c>
      <c r="H43" s="60">
        <f>G43*1000/D43</f>
        <v>238.87643174386554</v>
      </c>
      <c r="I43" s="61">
        <f>SUM(I$11:I$42)</f>
        <v>65533</v>
      </c>
      <c r="J43" s="59">
        <f t="shared" si="2"/>
        <v>0.33294691224268685</v>
      </c>
      <c r="L43" s="62"/>
      <c r="M43" s="44"/>
      <c r="N43" s="62"/>
      <c r="O43" s="44"/>
    </row>
    <row r="44" spans="1:24" ht="12.75" customHeight="1">
      <c r="A44" s="55" t="s">
        <v>55</v>
      </c>
      <c r="B44" s="56"/>
      <c r="C44" s="57">
        <v>885.84000000000015</v>
      </c>
      <c r="D44" s="58">
        <v>19392.319999999996</v>
      </c>
      <c r="E44" s="58">
        <v>1731.61</v>
      </c>
      <c r="F44" s="59">
        <v>22009.769999999997</v>
      </c>
      <c r="G44" s="58">
        <v>5043.9599999999991</v>
      </c>
      <c r="H44" s="63">
        <v>260.10090592564478</v>
      </c>
      <c r="I44" s="61">
        <v>66348</v>
      </c>
      <c r="J44" s="59">
        <v>0.33173223005968527</v>
      </c>
      <c r="L44" s="62"/>
      <c r="M44" s="44"/>
      <c r="N44" s="62"/>
      <c r="O44" s="44"/>
    </row>
    <row r="45" spans="1:24" ht="12.75" customHeight="1">
      <c r="A45" s="55" t="s">
        <v>56</v>
      </c>
      <c r="B45" s="56"/>
      <c r="C45" s="57">
        <v>1328.9199999999998</v>
      </c>
      <c r="D45" s="58">
        <v>21873.32</v>
      </c>
      <c r="E45" s="58">
        <v>1702.31</v>
      </c>
      <c r="F45" s="59">
        <v>24904.55</v>
      </c>
      <c r="G45" s="58">
        <v>5532.6400000000012</v>
      </c>
      <c r="H45" s="63">
        <v>252.94011151485009</v>
      </c>
      <c r="I45" s="61">
        <v>79727</v>
      </c>
      <c r="J45" s="59">
        <v>0.31237284734155302</v>
      </c>
      <c r="L45" s="62"/>
      <c r="M45" s="44"/>
      <c r="N45" s="62"/>
      <c r="O45" s="44"/>
    </row>
    <row r="46" spans="1:24" ht="12.75" customHeight="1">
      <c r="A46" s="55" t="s">
        <v>57</v>
      </c>
      <c r="B46" s="56"/>
      <c r="C46" s="57">
        <v>1551.06</v>
      </c>
      <c r="D46" s="58">
        <v>22450.95</v>
      </c>
      <c r="E46" s="58">
        <v>1827.6500000000003</v>
      </c>
      <c r="F46" s="59">
        <v>25829.660000000003</v>
      </c>
      <c r="G46" s="58">
        <v>6011.05</v>
      </c>
      <c r="H46" s="63">
        <v>267.74145414782004</v>
      </c>
      <c r="I46" s="61">
        <v>84646</v>
      </c>
      <c r="J46" s="59">
        <v>0.30514920964959957</v>
      </c>
      <c r="L46" s="62"/>
      <c r="M46" s="44"/>
      <c r="N46" s="62"/>
      <c r="O46" s="44"/>
    </row>
    <row r="47" spans="1:24" ht="12.75" customHeight="1">
      <c r="A47" s="55" t="s">
        <v>58</v>
      </c>
      <c r="B47" s="56"/>
      <c r="C47" s="57">
        <v>1463.3700000000003</v>
      </c>
      <c r="D47" s="58">
        <v>24336.249999999996</v>
      </c>
      <c r="E47" s="58">
        <v>2165.8690000000001</v>
      </c>
      <c r="F47" s="59">
        <v>27965.488999999994</v>
      </c>
      <c r="G47" s="58">
        <v>6674.2066164000007</v>
      </c>
      <c r="H47" s="63">
        <v>274.24959130515185</v>
      </c>
      <c r="I47" s="61">
        <v>87421.267078519246</v>
      </c>
      <c r="J47" s="59">
        <v>0.31989343022084321</v>
      </c>
      <c r="L47" s="62"/>
      <c r="M47" s="44"/>
      <c r="N47" s="62"/>
      <c r="O47" s="44"/>
    </row>
    <row r="48" spans="1:24" ht="12.75" customHeight="1">
      <c r="A48" s="55" t="s">
        <v>59</v>
      </c>
      <c r="B48" s="56"/>
      <c r="C48" s="57">
        <v>1505.9050000000002</v>
      </c>
      <c r="D48" s="58">
        <v>26637.5</v>
      </c>
      <c r="E48" s="58">
        <v>1290.7260000000001</v>
      </c>
      <c r="F48" s="59">
        <v>29434.130999999998</v>
      </c>
      <c r="G48" s="58">
        <v>7336.0912917745682</v>
      </c>
      <c r="H48" s="63">
        <v>275.40464727450279</v>
      </c>
      <c r="I48" s="61">
        <v>96965.914824539475</v>
      </c>
      <c r="J48" s="59">
        <v>0.30355131546235881</v>
      </c>
      <c r="L48" s="62"/>
      <c r="M48" s="44"/>
      <c r="N48" s="62"/>
      <c r="O48" s="44"/>
    </row>
    <row r="49" spans="1:15" ht="12.75" hidden="1" customHeight="1">
      <c r="A49" s="55" t="s">
        <v>60</v>
      </c>
      <c r="B49" s="56"/>
      <c r="C49" s="57">
        <v>1575.9599999999998</v>
      </c>
      <c r="D49" s="58">
        <v>28376.337</v>
      </c>
      <c r="E49" s="58">
        <v>1575.4990000000003</v>
      </c>
      <c r="F49" s="59">
        <v>31527.795999999998</v>
      </c>
      <c r="G49" s="58">
        <v>7753.1066832999995</v>
      </c>
      <c r="H49" s="63">
        <v>273.22436589683861</v>
      </c>
      <c r="I49" s="61">
        <v>95387.373077679978</v>
      </c>
      <c r="J49" s="59">
        <v>0.33052378928943688</v>
      </c>
      <c r="L49" s="62"/>
      <c r="M49" s="44"/>
      <c r="N49" s="62"/>
      <c r="O49" s="44"/>
    </row>
    <row r="50" spans="1:15" ht="12.75" hidden="1" customHeight="1">
      <c r="A50" s="55" t="s">
        <v>61</v>
      </c>
      <c r="B50" s="56"/>
      <c r="C50" s="57">
        <v>1765.05</v>
      </c>
      <c r="D50" s="58">
        <v>31879.240000000005</v>
      </c>
      <c r="E50" s="58">
        <v>1667.7800000000002</v>
      </c>
      <c r="F50" s="59">
        <f t="shared" ref="F50:F58" si="5">C50+D50+E50</f>
        <v>35312.070000000007</v>
      </c>
      <c r="G50" s="58">
        <v>8917.8204200000018</v>
      </c>
      <c r="H50" s="63">
        <v>279.73754769561634</v>
      </c>
      <c r="I50" s="61">
        <v>113329</v>
      </c>
      <c r="J50" s="59">
        <v>0.31158900193242689</v>
      </c>
    </row>
    <row r="51" spans="1:15" ht="12.75" hidden="1" customHeight="1">
      <c r="A51" s="55" t="s">
        <v>62</v>
      </c>
      <c r="B51" s="56"/>
      <c r="C51" s="57">
        <v>2041.9699999999998</v>
      </c>
      <c r="D51" s="58">
        <v>33470.239999999998</v>
      </c>
      <c r="E51" s="58">
        <v>2020.2300000000005</v>
      </c>
      <c r="F51" s="59">
        <f t="shared" si="5"/>
        <v>37532.44</v>
      </c>
      <c r="G51" s="58">
        <v>9538.99</v>
      </c>
      <c r="H51" s="63">
        <v>284.99915148502077</v>
      </c>
      <c r="I51" s="61">
        <v>112172</v>
      </c>
      <c r="J51" s="59">
        <v>0.33459722568912031</v>
      </c>
    </row>
    <row r="52" spans="1:15" ht="12.75" hidden="1" customHeight="1">
      <c r="A52" s="55" t="s">
        <v>63</v>
      </c>
      <c r="B52" s="56"/>
      <c r="C52" s="57">
        <v>2142.4299999999998</v>
      </c>
      <c r="D52" s="58">
        <v>33785.270000000004</v>
      </c>
      <c r="E52" s="58">
        <v>2498.17</v>
      </c>
      <c r="F52" s="59">
        <f t="shared" si="5"/>
        <v>38425.870000000003</v>
      </c>
      <c r="G52" s="58">
        <v>22459.16</v>
      </c>
      <c r="H52" s="63">
        <v>664.76189179485607</v>
      </c>
      <c r="I52" s="61">
        <v>120355</v>
      </c>
      <c r="J52" s="59">
        <v>0.31927107307548502</v>
      </c>
    </row>
    <row r="53" spans="1:15" ht="12.75" hidden="1" customHeight="1">
      <c r="A53" s="55" t="s">
        <v>64</v>
      </c>
      <c r="B53" s="56"/>
      <c r="C53" s="57">
        <v>2243.1399999999994</v>
      </c>
      <c r="D53" s="58">
        <v>34374.939999999995</v>
      </c>
      <c r="E53" s="58">
        <v>2564.4699999999998</v>
      </c>
      <c r="F53" s="59">
        <f t="shared" si="5"/>
        <v>39182.549999999996</v>
      </c>
      <c r="G53" s="58">
        <v>23071.969999999998</v>
      </c>
      <c r="H53" s="63">
        <v>671.18575334240586</v>
      </c>
      <c r="I53" s="61">
        <v>119725</v>
      </c>
      <c r="J53" s="59">
        <v>0.32727124660680723</v>
      </c>
    </row>
    <row r="54" spans="1:15" ht="12.75" hidden="1" customHeight="1">
      <c r="A54" s="55" t="s">
        <v>65</v>
      </c>
      <c r="B54" s="56"/>
      <c r="C54" s="58">
        <v>2365.7399999999998</v>
      </c>
      <c r="D54" s="58">
        <v>35056.199999999997</v>
      </c>
      <c r="E54" s="58">
        <v>2519.64</v>
      </c>
      <c r="F54" s="59">
        <f t="shared" si="5"/>
        <v>39941.579999999994</v>
      </c>
      <c r="G54" s="58">
        <v>23373.14</v>
      </c>
      <c r="H54" s="63">
        <v>667</v>
      </c>
      <c r="I54" s="61">
        <v>121076</v>
      </c>
      <c r="J54" s="59">
        <v>0.33</v>
      </c>
    </row>
    <row r="55" spans="1:15" ht="12.75" hidden="1" customHeight="1">
      <c r="A55" s="55" t="s">
        <v>66</v>
      </c>
      <c r="B55" s="56"/>
      <c r="C55" s="58">
        <v>2442.1999999999998</v>
      </c>
      <c r="D55" s="58">
        <v>35800.03</v>
      </c>
      <c r="E55" s="58">
        <v>2586.75</v>
      </c>
      <c r="F55" s="59">
        <f t="shared" si="5"/>
        <v>40828.979999999996</v>
      </c>
      <c r="G55" s="64">
        <v>25326.23</v>
      </c>
      <c r="H55" s="61">
        <v>707.43599935530779</v>
      </c>
      <c r="I55" s="61">
        <v>143528</v>
      </c>
      <c r="J55" s="59">
        <v>0.33347319461845221</v>
      </c>
    </row>
    <row r="56" spans="1:15" ht="12.75" hidden="1" customHeight="1">
      <c r="A56" s="55" t="s">
        <v>67</v>
      </c>
      <c r="B56" s="56"/>
      <c r="C56" s="58">
        <v>2547.7819999999997</v>
      </c>
      <c r="D56" s="58">
        <v>36216.565000000002</v>
      </c>
      <c r="E56" s="58">
        <v>2608.3470000000002</v>
      </c>
      <c r="F56" s="59">
        <f t="shared" si="5"/>
        <v>41372.694000000003</v>
      </c>
      <c r="G56" s="64">
        <v>30028.488000000001</v>
      </c>
      <c r="H56" s="63">
        <v>829.13683282774048</v>
      </c>
      <c r="I56" s="61">
        <v>123920</v>
      </c>
      <c r="J56" s="59">
        <v>0.32620366342742546</v>
      </c>
    </row>
    <row r="57" spans="1:15" ht="12.75" hidden="1" customHeight="1">
      <c r="A57" s="65" t="s">
        <v>68</v>
      </c>
      <c r="B57" s="56"/>
      <c r="C57" s="59">
        <v>2708.62</v>
      </c>
      <c r="D57" s="59">
        <v>37084.29</v>
      </c>
      <c r="E57" s="59">
        <v>2808.52</v>
      </c>
      <c r="F57" s="59">
        <f t="shared" si="5"/>
        <v>42601.43</v>
      </c>
      <c r="G57" s="66">
        <v>38585.33</v>
      </c>
      <c r="H57" s="67">
        <v>1040</v>
      </c>
      <c r="I57" s="68">
        <v>133398</v>
      </c>
      <c r="J57" s="59">
        <v>0.32076794226597205</v>
      </c>
    </row>
    <row r="58" spans="1:15" ht="12.75" hidden="1" customHeight="1">
      <c r="A58" s="65" t="s">
        <v>69</v>
      </c>
      <c r="B58" s="56"/>
      <c r="C58" s="59">
        <v>2753.51</v>
      </c>
      <c r="D58" s="59">
        <v>37894.660000000003</v>
      </c>
      <c r="E58" s="59">
        <v>2821.66</v>
      </c>
      <c r="F58" s="59">
        <f t="shared" si="5"/>
        <v>43469.83</v>
      </c>
      <c r="G58" s="66">
        <v>39570.080000000002</v>
      </c>
      <c r="H58" s="67">
        <v>1044</v>
      </c>
      <c r="I58" s="68">
        <v>135518</v>
      </c>
      <c r="J58" s="59">
        <v>0.32104086202273896</v>
      </c>
    </row>
    <row r="59" spans="1:15" ht="12.75" customHeight="1">
      <c r="A59" s="69"/>
      <c r="B59" s="69" t="s">
        <v>70</v>
      </c>
      <c r="C59" s="70"/>
      <c r="D59" s="70"/>
      <c r="E59" s="70"/>
      <c r="F59" s="70"/>
      <c r="G59" s="71"/>
      <c r="H59" s="70"/>
      <c r="I59" s="72"/>
      <c r="J59" s="72"/>
    </row>
    <row r="60" spans="1:15" ht="12.75" customHeight="1">
      <c r="H60" s="73" t="s">
        <v>71</v>
      </c>
      <c r="O60" s="73" t="s">
        <v>72</v>
      </c>
    </row>
    <row r="61" spans="1:15" ht="12.75" customHeight="1"/>
    <row r="62" spans="1:15" ht="12.75" customHeight="1"/>
    <row r="63" spans="1:15" ht="12.75" customHeight="1">
      <c r="B63" s="74" t="s">
        <v>73</v>
      </c>
      <c r="C63" s="74" t="s">
        <v>74</v>
      </c>
    </row>
    <row r="64" spans="1:15" ht="12.75" customHeight="1">
      <c r="B64" s="74" t="str">
        <f t="array" aca="1" ref="B64" ca="1">RIGHT(INDIRECT("A43"),4)</f>
        <v>2024</v>
      </c>
      <c r="C64" s="75">
        <f t="array" aca="1" ref="C64" ca="1">INDIRECT("g43")</f>
        <v>4649.079999999999</v>
      </c>
    </row>
    <row r="65" spans="2:3" ht="12.75" customHeight="1">
      <c r="B65" s="74" t="str">
        <f t="array" aca="1" ref="B65" ca="1">RIGHT(INDIRECT("A44"),4)</f>
        <v>2023</v>
      </c>
      <c r="C65" s="75">
        <f t="array" aca="1" ref="C65" ca="1">INDIRECT("g44")</f>
        <v>5043.9599999999991</v>
      </c>
    </row>
    <row r="66" spans="2:3" ht="12.75" customHeight="1">
      <c r="B66" s="74" t="str">
        <f t="array" aca="1" ref="B66" ca="1">RIGHT(INDIRECT("A45"),4)</f>
        <v>2022</v>
      </c>
      <c r="C66" s="75">
        <f t="array" aca="1" ref="C66" ca="1">INDIRECT("g45")</f>
        <v>5532.6400000000012</v>
      </c>
    </row>
    <row r="67" spans="2:3" ht="12.75" customHeight="1">
      <c r="B67" s="74" t="str">
        <f t="array" aca="1" ref="B67" ca="1">RIGHT(INDIRECT("A46"),4)</f>
        <v>2021</v>
      </c>
      <c r="C67" s="75">
        <f t="array" aca="1" ref="C67" ca="1">INDIRECT("g46")</f>
        <v>6011.05</v>
      </c>
    </row>
    <row r="68" spans="2:3" ht="12.75" customHeight="1">
      <c r="B68" s="74" t="str">
        <f t="array" aca="1" ref="B68" ca="1">RIGHT(INDIRECT("A47"),4)</f>
        <v>2020</v>
      </c>
      <c r="C68" s="75">
        <f t="array" aca="1" ref="C68" ca="1">INDIRECT("g47")</f>
        <v>6674.2066164000007</v>
      </c>
    </row>
    <row r="69" spans="2:3" ht="12.75" customHeight="1">
      <c r="B69" s="74" t="str">
        <f t="array" aca="1" ref="B69" ca="1">RIGHT(INDIRECT("A48"),4)</f>
        <v>2019</v>
      </c>
      <c r="C69" s="75">
        <f t="array" aca="1" ref="C69" ca="1">INDIRECT("g48")</f>
        <v>7336.0912917745682</v>
      </c>
    </row>
    <row r="70" spans="2:3" ht="12.75" customHeight="1">
      <c r="B70" s="74" t="str">
        <f t="array" aca="1" ref="B70" ca="1">RIGHT(INDIRECT("A49"),4)</f>
        <v>2018</v>
      </c>
      <c r="C70" s="75">
        <f t="array" aca="1" ref="C70" ca="1">INDIRECT("g49")</f>
        <v>7753.1066832999995</v>
      </c>
    </row>
    <row r="71" spans="2:3" ht="12.75" customHeight="1">
      <c r="B71" s="74" t="str">
        <f t="array" aca="1" ref="B71" ca="1">RIGHT(INDIRECT("A50"),4)</f>
        <v>2017</v>
      </c>
      <c r="C71" s="75">
        <f t="array" aca="1" ref="C71" ca="1">INDIRECT("g50")</f>
        <v>8917.8204200000018</v>
      </c>
    </row>
    <row r="72" spans="2:3" ht="12.75" customHeight="1">
      <c r="B72" s="74" t="str">
        <f t="array" aca="1" ref="B72" ca="1">RIGHT(INDIRECT("A51"),4)</f>
        <v>2016</v>
      </c>
      <c r="C72" s="75">
        <f t="array" aca="1" ref="C72" ca="1">INDIRECT("g51")</f>
        <v>9538.99</v>
      </c>
    </row>
    <row r="73" spans="2:3" ht="12.75" customHeight="1">
      <c r="B73" s="74" t="str">
        <f t="array" aca="1" ref="B73" ca="1">RIGHT(INDIRECT("A52"),4)</f>
        <v>2015</v>
      </c>
      <c r="C73" s="75">
        <f t="array" aca="1" ref="C73" ca="1">INDIRECT("g52")</f>
        <v>22459.16</v>
      </c>
    </row>
    <row r="74" spans="2:3" ht="12.75" customHeight="1">
      <c r="B74" s="74" t="str">
        <f t="array" aca="1" ref="B74" ca="1">RIGHT(INDIRECT("A53"),4)</f>
        <v>2014</v>
      </c>
      <c r="C74" s="75">
        <f t="array" aca="1" ref="C74" ca="1">INDIRECT("g53")</f>
        <v>23071.969999999998</v>
      </c>
    </row>
    <row r="75" spans="2:3" ht="12.75" customHeight="1">
      <c r="B75" s="74" t="str">
        <f t="array" aca="1" ref="B75" ca="1">RIGHT(INDIRECT("A54"),4)</f>
        <v>2013</v>
      </c>
      <c r="C75" s="75">
        <f t="array" aca="1" ref="C75" ca="1">INDIRECT("g54")</f>
        <v>23373.14</v>
      </c>
    </row>
    <row r="76" spans="2:3" ht="12.75" customHeight="1">
      <c r="B76" s="36" t="str">
        <f t="array" aca="1" ref="B76" ca="1">RIGHT(INDIRECT("A55"),4)</f>
        <v>2012</v>
      </c>
      <c r="C76" s="75">
        <f t="array" aca="1" ref="C76" ca="1">INDIRECT("g55")</f>
        <v>25326.23</v>
      </c>
    </row>
    <row r="77" spans="2:3" ht="12.75" customHeight="1"/>
    <row r="78" spans="2:3" ht="12.75" customHeight="1"/>
    <row r="79" spans="2:3" ht="12.75" customHeight="1"/>
    <row r="80" spans="2: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autoFilter ref="L10:M59" xr:uid="{00000000-0009-0000-0000-000024000000}">
    <sortState xmlns:xlrd2="http://schemas.microsoft.com/office/spreadsheetml/2017/richdata2" ref="L11:M59">
      <sortCondition descending="1" ref="M10:M59"/>
    </sortState>
  </autoFilter>
  <mergeCells count="35"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L8:M9"/>
    <mergeCell ref="N8:O9"/>
    <mergeCell ref="A43:B43"/>
    <mergeCell ref="A44:B44"/>
    <mergeCell ref="A45:B45"/>
    <mergeCell ref="A46:B46"/>
    <mergeCell ref="J6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A5:J5"/>
    <mergeCell ref="A6:A9"/>
    <mergeCell ref="B6:B9"/>
    <mergeCell ref="C6:F7"/>
    <mergeCell ref="G6:H7"/>
    <mergeCell ref="I6:I9"/>
  </mergeCells>
  <hyperlinks>
    <hyperlink ref="H60" r:id="rId1" xr:uid="{5618F28F-FD5A-4C7D-863F-6CAA09F2F3A0}"/>
    <hyperlink ref="O60" r:id="rId2" xr:uid="{343E62A6-41A8-43E8-8F4E-7123CE355A98}"/>
  </hyperlinks>
  <printOptions horizontalCentered="1"/>
  <pageMargins left="0.74803149606299213" right="0.23622047244094491" top="0.78740157480314965" bottom="0.82677165354330717" header="0" footer="0"/>
  <pageSetup paperSize="14" fitToHeight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Kapok</vt:lpstr>
      <vt:lpstr>Kapok!Z_3F279D1F_CFB3_4226_902F_136088D6AABE_.wvu.Cols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2025-09-01T04:27:17Z</dcterms:created>
  <dcterms:modified xsi:type="dcterms:W3CDTF">2025-09-01T04:27:25Z</dcterms:modified>
</cp:coreProperties>
</file>